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540" windowHeight="8835" activeTab="0"/>
  </bookViews>
  <sheets>
    <sheet name="FinalOrd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<sst xmlns="http://schemas.openxmlformats.org/spreadsheetml/2006/main" count="521" uniqueCount="177">
  <si>
    <t>Sample ID</t>
  </si>
  <si>
    <t>Age</t>
  </si>
  <si>
    <t>Gender</t>
  </si>
  <si>
    <t>Tissue of (Origin/Finding)</t>
  </si>
  <si>
    <t>Appearance</t>
  </si>
  <si>
    <t>Tumor Grade</t>
  </si>
  <si>
    <t>TNM</t>
  </si>
  <si>
    <t>Normal</t>
  </si>
  <si>
    <t>Lesion</t>
  </si>
  <si>
    <t>Tumor</t>
  </si>
  <si>
    <t>Tumor Hypercellular Stroma</t>
  </si>
  <si>
    <t>Tumor Hypo/Acellular Stroma</t>
  </si>
  <si>
    <t>Necrosis</t>
  </si>
  <si>
    <t>Cytomyx Pathology Verification Notes</t>
  </si>
  <si>
    <t>Abstracted Pathology Report</t>
  </si>
  <si>
    <t>Tissue Image (4X)</t>
  </si>
  <si>
    <t>Tissue Image (20X)</t>
  </si>
  <si>
    <t>Gel Image</t>
  </si>
  <si>
    <t>Electropherogram</t>
  </si>
  <si>
    <t>Bioanalyzer Ratio (28S/18S)</t>
  </si>
  <si>
    <t>A260/A280</t>
  </si>
  <si>
    <t>RT-PCR Image</t>
  </si>
  <si>
    <t>N/A</t>
  </si>
  <si>
    <t>Male</t>
  </si>
  <si>
    <t>Not Reported</t>
  </si>
  <si>
    <t>Skin / Lymph node</t>
  </si>
  <si>
    <t>Malignant melanoma, metastatic</t>
  </si>
  <si>
    <t>pTXpN1pMX</t>
  </si>
  <si>
    <t>III</t>
  </si>
  <si>
    <t>Female</t>
  </si>
  <si>
    <t>pTXpN3pMX</t>
  </si>
  <si>
    <t>Skin / Lymph node: axillary</t>
  </si>
  <si>
    <t>pTXpN1bpMX</t>
  </si>
  <si>
    <t>malignant melanoma metastasized to lymph node</t>
  </si>
  <si>
    <t>Skin / Muscle tissue</t>
  </si>
  <si>
    <t>cellular tumor stroma: 100% mixed lymphocytes, plasma cells and neutrophils; hypocellular stroma: 100% fibrosis</t>
  </si>
  <si>
    <t>tumor stroma: 100% fibrosis</t>
  </si>
  <si>
    <t>pTXpN2bpMX</t>
  </si>
  <si>
    <t>IIIA</t>
  </si>
  <si>
    <t>pTXpN2apMX</t>
  </si>
  <si>
    <t>IIIB</t>
  </si>
  <si>
    <t>IIIC</t>
  </si>
  <si>
    <t>Skin / Lung</t>
  </si>
  <si>
    <t>pTXpNXpM1b</t>
  </si>
  <si>
    <t>IV</t>
  </si>
  <si>
    <t>Skin / Brain</t>
  </si>
  <si>
    <t>pTXpNXpM1c</t>
  </si>
  <si>
    <t>Melanoma metastasized to brain</t>
  </si>
  <si>
    <t>Skin / Groin</t>
  </si>
  <si>
    <t>pTXpNXpM1a</t>
  </si>
  <si>
    <t>Metastasis in soft tissue of groin</t>
  </si>
  <si>
    <t>Skin / Small intestine</t>
  </si>
  <si>
    <t>tumor stroma: 100% desmoplasia</t>
  </si>
  <si>
    <t>Skin / Pelvis</t>
  </si>
  <si>
    <t>pTXpNXpM1</t>
  </si>
  <si>
    <t>tumor stroma: 100% mixed lymphocytes and plasma cells</t>
  </si>
  <si>
    <t>Skin / Ovary</t>
  </si>
  <si>
    <t>Skin / Soft tissue</t>
  </si>
  <si>
    <t>Skin / Skin</t>
  </si>
  <si>
    <t>Tumor: represents metastasis rather than primary according to the pathology report</t>
  </si>
  <si>
    <t>Skin / Kidney</t>
  </si>
  <si>
    <t>Skin / Mediastinum</t>
  </si>
  <si>
    <t>Tumor: involving dermis and subcutaneous tissue of peri-anus; Other Features/Comments: No in-situ component is seen in this resection, therefor, the findings
are interpreted as a metastasis. The lesion extends to the inked tissue
margin.</t>
  </si>
  <si>
    <t>Skin / Thigh</t>
  </si>
  <si>
    <t>pT3pN1pM1b</t>
  </si>
  <si>
    <t>Inflammation: Mild Lymphoplasmacytic infiltrate</t>
  </si>
  <si>
    <t>pT2pNXpM1b</t>
  </si>
  <si>
    <t>Skin / Lung: right upper lobe</t>
  </si>
  <si>
    <t>Focal tumor associated lymphocytes and polymorphonuclear mixed; Tumor metastasized to groin area</t>
  </si>
  <si>
    <t>Skin / Stomach</t>
  </si>
  <si>
    <t>Melanoma metastasized to stomach</t>
  </si>
  <si>
    <t>RN00003D63</t>
  </si>
  <si>
    <t>RN00003D64</t>
  </si>
  <si>
    <t>RN00003D65</t>
  </si>
  <si>
    <t>RN00003D66</t>
  </si>
  <si>
    <t>RN00003D67</t>
  </si>
  <si>
    <t>RN00003D68</t>
  </si>
  <si>
    <t>RN00003D69</t>
  </si>
  <si>
    <t>RN00003D6A</t>
  </si>
  <si>
    <t>RN00003D6B</t>
  </si>
  <si>
    <t>RN00003D6E</t>
  </si>
  <si>
    <t>RN00003D6F</t>
  </si>
  <si>
    <t>RN00003D70</t>
  </si>
  <si>
    <t>RN00003D71</t>
  </si>
  <si>
    <t>RN00003D72</t>
  </si>
  <si>
    <t>RN00003D73</t>
  </si>
  <si>
    <t>RN00003D74</t>
  </si>
  <si>
    <t>RN00003D75</t>
  </si>
  <si>
    <t>RN00003D76</t>
  </si>
  <si>
    <t>RN00003D77</t>
  </si>
  <si>
    <t>RN00003D78</t>
  </si>
  <si>
    <t>RN00003D79</t>
  </si>
  <si>
    <t>RN00003D7A</t>
  </si>
  <si>
    <t>RN00003D7B</t>
  </si>
  <si>
    <t>RN00003D7C</t>
  </si>
  <si>
    <t>RN00003D7E</t>
  </si>
  <si>
    <t>RN00003D7F</t>
  </si>
  <si>
    <t>RN00003D80</t>
  </si>
  <si>
    <t>RN00003D81</t>
  </si>
  <si>
    <t>RN00003D82</t>
  </si>
  <si>
    <t>RN00003D83</t>
  </si>
  <si>
    <t>RN00003D84</t>
  </si>
  <si>
    <t>RN00003D85</t>
  </si>
  <si>
    <t>RN00003D87</t>
  </si>
  <si>
    <t>RN00003D89</t>
  </si>
  <si>
    <t>RN00003D8A</t>
  </si>
  <si>
    <t>RN00003D8B</t>
  </si>
  <si>
    <t>RN00003D8D</t>
  </si>
  <si>
    <t>SKU</t>
  </si>
  <si>
    <t>MERT102/302/502</t>
  </si>
  <si>
    <t>Well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</si>
  <si>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</si>
  <si>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</si>
  <si>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</si>
  <si>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</si>
  <si>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</si>
  <si>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</si>
  <si>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</si>
  <si>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</si>
  <si>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</si>
  <si>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</si>
  <si>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</si>
  <si>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</si>
  <si>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</si>
  <si>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</si>
  <si>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</si>
  <si>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</si>
  <si>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</si>
  <si>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</si>
  <si>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</si>
  <si>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</si>
  <si>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</si>
  <si>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</si>
  <si>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</si>
  <si>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</si>
  <si>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</si>
  <si>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</si>
  <si>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</si>
  <si>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</si>
  <si>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</si>
  <si>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</si>
  <si>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</si>
  <si>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</si>
  <si>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</si>
  <si>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</si>
  <si>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</si>
  <si>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</si>
  <si>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</si>
  <si>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Diagnosis</t>
  </si>
  <si>
    <t>Stage</t>
  </si>
  <si>
    <t>RN00003D8E</t>
  </si>
  <si>
    <t>CU0000005501</t>
  </si>
  <si>
    <t>RNA</t>
  </si>
  <si>
    <t>Within normal limits</t>
  </si>
  <si>
    <t>No pathologic disease</t>
  </si>
  <si>
    <t>Non Tumor Structures: 10% Epidermis, 10% Dermis, 80% Subcutaneous tissue</t>
  </si>
  <si>
    <t>CU0000005501.2.4X</t>
  </si>
  <si>
    <t>CU0000005501.2.20X</t>
  </si>
  <si>
    <t>CU0000005501.2.B706</t>
  </si>
  <si>
    <t>CU0000005501.2.R365</t>
  </si>
  <si>
    <t>RN00003D92</t>
  </si>
  <si>
    <t>CI0000007737</t>
  </si>
  <si>
    <t>Non Tumor Structures: 20% Epidermis, 80% Dermis</t>
  </si>
  <si>
    <t>CI0000007737.6.4X</t>
  </si>
  <si>
    <t>CI0000007737.6.20X</t>
  </si>
  <si>
    <t>CI0000007737.6.B710</t>
  </si>
  <si>
    <t>CI0000007737.6.R369</t>
  </si>
  <si>
    <t>RN00003D91</t>
  </si>
  <si>
    <t>CI0000000086</t>
  </si>
  <si>
    <t>Dermatitis, chronic</t>
  </si>
  <si>
    <t>C1</t>
  </si>
  <si>
    <t>C2</t>
  </si>
  <si>
    <t>C3</t>
  </si>
  <si>
    <t>CI0000000086.2.4X</t>
  </si>
  <si>
    <t>CI0000000086.2.20X</t>
  </si>
  <si>
    <t>CI0000000086.2.B710</t>
  </si>
  <si>
    <t>CI0000000086.2.R369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</si>
</sst>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#.00"/>
    <numFmt numFmtId="166" formatCode="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#.##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53" applyFont="1" applyAlignment="1" applyProtection="1">
      <alignment horizontal="left"/>
      <protection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53" applyFont="1" applyAlignment="1" applyProtection="1">
      <alignment/>
      <protection/>
    </xf>
    <xf numFmtId="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53" applyFont="1" applyAlignment="1" applyProtection="1">
      <alignment horizontal="left" wrapText="1"/>
      <protection/>
    </xf>
    <xf numFmtId="2" fontId="3" fillId="0" borderId="0" xfId="0" applyNumberFormat="1" applyFont="1" applyAlignment="1">
      <alignment horizontal="center" wrapText="1"/>
    </xf>
    <xf numFmtId="0" fontId="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1" bestFit="1" customWidth="1"/>
    <col min="2" max="2" width="5.140625" style="1" bestFit="1" customWidth="1"/>
    <col min="3" max="3" width="8.7109375" style="1" customWidth="1"/>
    <col min="4" max="4" width="5.7109375" style="1" customWidth="1"/>
    <col min="5" max="5" width="7.28125" style="1" customWidth="1"/>
    <col min="6" max="6" width="6.421875" style="1" customWidth="1"/>
    <col min="7" max="7" width="11.140625" style="1" customWidth="1"/>
    <col min="8" max="8" width="12.8515625" style="1" customWidth="1"/>
    <col min="9" max="9" width="6.28125" style="1" bestFit="1" customWidth="1"/>
    <col min="10" max="15" width="4.7109375" style="1" customWidth="1"/>
    <col min="16" max="16" width="11.7109375" style="1" hidden="1" customWidth="1"/>
    <col min="17" max="17" width="11.421875" style="1" customWidth="1"/>
    <col min="18" max="18" width="15.28125" style="1" hidden="1" customWidth="1"/>
    <col min="19" max="19" width="17.28125" style="1" bestFit="1" customWidth="1"/>
    <col min="20" max="20" width="16.140625" style="1" hidden="1" customWidth="1"/>
    <col min="21" max="21" width="18.28125" style="1" bestFit="1" customWidth="1"/>
    <col min="22" max="22" width="18.7109375" style="1" hidden="1" customWidth="1"/>
    <col min="23" max="23" width="17.28125" style="1" bestFit="1" customWidth="1"/>
    <col min="24" max="24" width="17.00390625" style="1" hidden="1" customWidth="1"/>
    <col min="25" max="25" width="17.57421875" style="1" bestFit="1" customWidth="1"/>
    <col min="26" max="26" width="4.8515625" style="1" customWidth="1"/>
    <col min="27" max="27" width="5.7109375" style="1" customWidth="1"/>
    <col min="28" max="28" width="17.00390625" style="1" hidden="1" customWidth="1"/>
    <col min="29" max="29" width="17.00390625" style="1" bestFit="1" customWidth="1"/>
    <col min="30" max="30" width="10.7109375" style="1" customWidth="1"/>
    <col min="31" max="31" width="10.28125" style="1" bestFit="1" customWidth="1"/>
    <col min="32" max="32" width="29.7109375" style="1" customWidth="1"/>
    <col min="33" max="33" width="18.7109375" style="1" customWidth="1"/>
  </cols>
  <sheetData>
    <row r="1" spans="1:34" ht="12.75">
      <c r="A1" s="4" t="s">
        <v>108</v>
      </c>
      <c r="B1" s="4" t="s">
        <v>110</v>
      </c>
      <c r="C1" s="5" t="s">
        <v>2</v>
      </c>
      <c r="D1" s="5" t="s">
        <v>1</v>
      </c>
      <c r="E1" s="4" t="s">
        <v>3</v>
      </c>
      <c r="F1" s="4" t="s">
        <v>4</v>
      </c>
      <c r="G1" s="4" t="s">
        <v>148</v>
      </c>
      <c r="H1" s="4" t="s">
        <v>5</v>
      </c>
      <c r="I1" s="5" t="s">
        <v>149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Q1" s="4" t="s">
        <v>14</v>
      </c>
      <c r="S1" s="4" t="s">
        <v>15</v>
      </c>
      <c r="U1" s="4" t="s">
        <v>16</v>
      </c>
      <c r="V1" s="4"/>
      <c r="W1" s="4" t="s">
        <v>17</v>
      </c>
      <c r="X1" s="4"/>
      <c r="Y1" s="4" t="s">
        <v>18</v>
      </c>
      <c r="Z1" s="5" t="s">
        <v>19</v>
      </c>
      <c r="AA1" s="5" t="s">
        <v>20</v>
      </c>
      <c r="AC1" s="4" t="s">
        <v>21</v>
      </c>
      <c r="AD1" s="4" t="s">
        <v>0</v>
      </c>
      <c r="AE1" s="4" t="s">
        <v>6</v>
      </c>
      <c r="AF1" s="4" t="s">
        <v>13</v>
      </c>
      <c r="AG1" s="4"/>
      <c r="AH1" s="2"/>
    </row>
    <row r="2" spans="1:36" s="16" customFormat="1" ht="12.75">
      <c r="A2" s="10" t="s">
        <v>109</v>
      </c>
      <c r="B2" s="17" t="s">
        <v>170</v>
      </c>
      <c r="C2" s="7" t="s">
        <v>29</v>
      </c>
      <c r="D2" s="7">
        <v>35</v>
      </c>
      <c r="E2" s="10" t="s">
        <v>58</v>
      </c>
      <c r="F2" s="10" t="s">
        <v>7</v>
      </c>
      <c r="G2" s="10" t="s">
        <v>154</v>
      </c>
      <c r="J2" s="18">
        <v>100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9" t="s">
        <v>151</v>
      </c>
      <c r="Q2" s="21" t="str">
        <f>HYPERLINK("/assets/documents/TissueScan/abstracts/"&amp;P2&amp;".rtf",P2)</f>
        <v>CU0000005501</v>
      </c>
      <c r="R2" s="19" t="s">
        <v>156</v>
      </c>
      <c r="S2" s="12" t="str">
        <f>HYPERLINK("/images/rapidscan/"&amp;R2&amp;".jpg",R2)</f>
        <v>CU0000005501.2.4X</v>
      </c>
      <c r="T2" s="19" t="s">
        <v>157</v>
      </c>
      <c r="U2" s="12" t="str">
        <f>HYPERLINK("/images/rapidscan/"&amp;T2&amp;".jpg",T2)</f>
        <v>CU0000005501.2.20X</v>
      </c>
      <c r="X2" s="19" t="s">
        <v>158</v>
      </c>
      <c r="Y2" s="12" t="str">
        <f>HYPERLINK("/images/rapidscan/"&amp;X2&amp;".jpg",X2)</f>
        <v>CU0000005501.2.B706</v>
      </c>
      <c r="Z2" s="20">
        <v>1.090000033378601</v>
      </c>
      <c r="AA2" s="9" t="s">
        <v>22</v>
      </c>
      <c r="AB2" s="19" t="s">
        <v>159</v>
      </c>
      <c r="AC2" s="12" t="str">
        <f>HYPERLINK("/images/rapidscan/"&amp;AB2&amp;".jpg",AB2)</f>
        <v>CU0000005501.2.R365</v>
      </c>
      <c r="AD2" s="6" t="s">
        <v>150</v>
      </c>
      <c r="AE2" s="10" t="s">
        <v>24</v>
      </c>
      <c r="AF2" s="10" t="s">
        <v>155</v>
      </c>
      <c r="AG2" s="6"/>
      <c r="AH2" s="6"/>
      <c r="AI2" s="6"/>
      <c r="AJ2" s="15"/>
    </row>
    <row r="3" spans="1:36" s="16" customFormat="1" ht="12.75">
      <c r="A3" s="10" t="s">
        <v>109</v>
      </c>
      <c r="B3" s="17" t="s">
        <v>171</v>
      </c>
      <c r="C3" s="7" t="s">
        <v>23</v>
      </c>
      <c r="D3" s="7">
        <v>32</v>
      </c>
      <c r="E3" s="10" t="s">
        <v>58</v>
      </c>
      <c r="F3" s="10" t="s">
        <v>7</v>
      </c>
      <c r="G3" s="10" t="s">
        <v>169</v>
      </c>
      <c r="J3" s="18">
        <v>100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9" t="s">
        <v>168</v>
      </c>
      <c r="Q3" s="21" t="str">
        <f>HYPERLINK("/assets/documents/TissueScan/abstracts/"&amp;P3&amp;".rtf",P3)</f>
        <v>CI0000000086</v>
      </c>
      <c r="R3" s="19" t="s">
        <v>173</v>
      </c>
      <c r="S3" s="12" t="str">
        <f>HYPERLINK("/images/rapidscan/"&amp;R3&amp;".jpg",R3)</f>
        <v>CI0000000086.2.4X</v>
      </c>
      <c r="T3" s="19" t="s">
        <v>174</v>
      </c>
      <c r="U3" s="12" t="str">
        <f>HYPERLINK("/images/rapidscan/"&amp;T3&amp;".jpg",T3)</f>
        <v>CI0000000086.2.20X</v>
      </c>
      <c r="X3" s="19" t="s">
        <v>175</v>
      </c>
      <c r="Y3" s="12" t="str">
        <f>HYPERLINK("/images/rapidscan/"&amp;X3&amp;".jpg",X3)</f>
        <v>CI0000000086.2.B710</v>
      </c>
      <c r="Z3" s="20">
        <v>1.5299999713897705</v>
      </c>
      <c r="AA3" s="9" t="s">
        <v>22</v>
      </c>
      <c r="AB3" s="19" t="s">
        <v>176</v>
      </c>
      <c r="AC3" s="12" t="str">
        <f>HYPERLINK("/images/rapidscan/"&amp;AB3&amp;".jpg",AB3)</f>
        <v>CI0000000086.2.R369</v>
      </c>
      <c r="AD3" s="6" t="s">
        <v>167</v>
      </c>
      <c r="AE3" s="10" t="s">
        <v>24</v>
      </c>
      <c r="AF3" s="10" t="s">
        <v>162</v>
      </c>
      <c r="AG3" s="6"/>
      <c r="AH3" s="6"/>
      <c r="AI3" s="6"/>
      <c r="AJ3" s="15"/>
    </row>
    <row r="4" spans="1:36" s="16" customFormat="1" ht="12.75">
      <c r="A4" s="10" t="s">
        <v>109</v>
      </c>
      <c r="B4" s="17" t="s">
        <v>172</v>
      </c>
      <c r="C4" s="7" t="s">
        <v>29</v>
      </c>
      <c r="D4" s="7">
        <v>58</v>
      </c>
      <c r="E4" s="10" t="s">
        <v>58</v>
      </c>
      <c r="F4" s="10" t="s">
        <v>7</v>
      </c>
      <c r="G4" s="10" t="s">
        <v>154</v>
      </c>
      <c r="J4" s="18">
        <v>100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9" t="s">
        <v>161</v>
      </c>
      <c r="Q4" s="21" t="str">
        <f>HYPERLINK("/assets/documents/TissueScan/abstracts/"&amp;P4&amp;".rtf",P4)</f>
        <v>CI0000007737</v>
      </c>
      <c r="R4" s="19" t="s">
        <v>163</v>
      </c>
      <c r="S4" s="12" t="str">
        <f>HYPERLINK("/images/rapidscan/"&amp;R4&amp;".jpg",R4)</f>
        <v>CI0000007737.6.4X</v>
      </c>
      <c r="T4" s="19" t="s">
        <v>164</v>
      </c>
      <c r="U4" s="12" t="str">
        <f>HYPERLINK("/images/rapidscan/"&amp;T4&amp;".jpg",T4)</f>
        <v>CI0000007737.6.20X</v>
      </c>
      <c r="X4" s="19" t="s">
        <v>165</v>
      </c>
      <c r="Y4" s="12" t="str">
        <f>HYPERLINK("/images/rapidscan/"&amp;X4&amp;".jpg",X4)</f>
        <v>CI0000007737.6.B710</v>
      </c>
      <c r="Z4" s="20">
        <v>1.0499999523162842</v>
      </c>
      <c r="AA4" s="9" t="s">
        <v>22</v>
      </c>
      <c r="AB4" s="19" t="s">
        <v>166</v>
      </c>
      <c r="AC4" s="12" t="str">
        <f>HYPERLINK("/images/rapidscan/"&amp;AB4&amp;".jpg",AB4)</f>
        <v>CI0000007737.6.R369</v>
      </c>
      <c r="AD4" s="6" t="s">
        <v>160</v>
      </c>
      <c r="AE4" s="10" t="s">
        <v>24</v>
      </c>
      <c r="AF4" s="10" t="s">
        <v>162</v>
      </c>
      <c r="AG4" s="6"/>
      <c r="AH4" s="6"/>
      <c r="AI4" s="6"/>
      <c r="AJ4" s="15"/>
    </row>
    <row r="5" spans="1:34" ht="12.75">
      <c r="A5" s="10" t="s">
        <v>109</v>
      </c>
      <c r="B5" s="10" t="s">
        <v>111</v>
      </c>
      <c r="C5" s="7" t="s">
        <v>23</v>
      </c>
      <c r="D5" s="7">
        <v>74</v>
      </c>
      <c r="E5" s="6" t="s">
        <v>25</v>
      </c>
      <c r="F5" s="6" t="s">
        <v>9</v>
      </c>
      <c r="G5" s="6" t="s">
        <v>26</v>
      </c>
      <c r="H5" s="6" t="s">
        <v>24</v>
      </c>
      <c r="I5" s="7" t="s">
        <v>28</v>
      </c>
      <c r="J5" s="7">
        <v>10</v>
      </c>
      <c r="K5" s="7">
        <v>0</v>
      </c>
      <c r="L5" s="7">
        <v>85</v>
      </c>
      <c r="M5" s="7">
        <v>0</v>
      </c>
      <c r="N5" s="7">
        <v>0</v>
      </c>
      <c r="O5" s="7">
        <v>5</v>
      </c>
      <c r="P5" s="8" t="str">
        <f>HYPERLINK("abstracts\cu0000006792.rtf","CU0000006792")</f>
        <v>CU0000006792</v>
      </c>
      <c r="Q5" s="21" t="str">
        <f>HYPERLINK("/assets/documents/TissueScan/abstracts/"&amp;P5&amp;".rtf",P5)</f>
        <v>CU0000006792</v>
      </c>
      <c r="R5" s="8" t="str">
        <f>HYPERLINK("images\cu0000006792.1.4x.jpg","CU0000006792.1.4X")</f>
        <v>CU0000006792.1.4X</v>
      </c>
      <c r="S5" s="12" t="str">
        <f aca="true" t="shared" si="0" ref="S5:S41">HYPERLINK("/images/rapidscan/"&amp;R5&amp;".jpg",R5)</f>
        <v>CU0000006792.1.4X</v>
      </c>
      <c r="T5" s="8" t="str">
        <f>HYPERLINK("images\cu0000006792.1.20x.jpg","CU0000006792.1.20X")</f>
        <v>CU0000006792.1.20X</v>
      </c>
      <c r="U5" s="12" t="str">
        <f aca="true" t="shared" si="1" ref="U5:U41">HYPERLINK("/images/rapidscan/"&amp;T5&amp;".jpg",T5)</f>
        <v>CU0000006792.1.20X</v>
      </c>
      <c r="V5" s="8" t="str">
        <f>HYPERLINK("images\cu0000006792.1.g213.jpg","CU0000006792.1.G213")</f>
        <v>CU0000006792.1.G213</v>
      </c>
      <c r="W5" s="12" t="str">
        <f>HYPERLINK("/images/rapidscan/"&amp;V5&amp;".jpg",V5)</f>
        <v>CU0000006792.1.G213</v>
      </c>
      <c r="X5" s="8" t="str">
        <f>HYPERLINK("images\cu0000006792.1.b437.jpg","CU0000006792.1.B437")</f>
        <v>CU0000006792.1.B437</v>
      </c>
      <c r="Y5" s="12" t="str">
        <f aca="true" t="shared" si="2" ref="Y5:Y41">HYPERLINK("/images/rapidscan/"&amp;X5&amp;".jpg",X5)</f>
        <v>CU0000006792.1.B437</v>
      </c>
      <c r="Z5" s="9">
        <v>1.3300000429153442</v>
      </c>
      <c r="AA5" s="9" t="s">
        <v>22</v>
      </c>
      <c r="AB5" s="8" t="str">
        <f>HYPERLINK("images\cu0000006792.1.r211.jpg","CU0000006792.1.R211")</f>
        <v>CU0000006792.1.R211</v>
      </c>
      <c r="AC5" s="12" t="str">
        <f aca="true" t="shared" si="3" ref="AC5:AC41">HYPERLINK("/images/rapidscan/"&amp;AB5&amp;".jpg",AB5)</f>
        <v>CU0000006792.1.R211</v>
      </c>
      <c r="AD5" s="6" t="s">
        <v>71</v>
      </c>
      <c r="AE5" s="6" t="s">
        <v>27</v>
      </c>
      <c r="AF5" s="6"/>
      <c r="AG5" s="6"/>
      <c r="AH5" s="3"/>
    </row>
    <row r="6" spans="1:34" ht="12.75">
      <c r="A6" s="10" t="s">
        <v>109</v>
      </c>
      <c r="B6" s="10" t="s">
        <v>112</v>
      </c>
      <c r="C6" s="7" t="s">
        <v>23</v>
      </c>
      <c r="D6" s="7">
        <v>69</v>
      </c>
      <c r="E6" s="6" t="s">
        <v>25</v>
      </c>
      <c r="F6" s="6" t="s">
        <v>9</v>
      </c>
      <c r="G6" s="6" t="s">
        <v>26</v>
      </c>
      <c r="H6" s="6" t="s">
        <v>24</v>
      </c>
      <c r="I6" s="7" t="s">
        <v>28</v>
      </c>
      <c r="J6" s="7">
        <v>0</v>
      </c>
      <c r="K6" s="7">
        <v>0</v>
      </c>
      <c r="L6" s="7">
        <v>80</v>
      </c>
      <c r="M6" s="7">
        <v>5</v>
      </c>
      <c r="N6" s="7">
        <v>12</v>
      </c>
      <c r="O6" s="7">
        <v>3</v>
      </c>
      <c r="P6" s="8" t="str">
        <f>HYPERLINK("abstracts\ci0000006167.rtf","CI0000006167")</f>
        <v>CI0000006167</v>
      </c>
      <c r="Q6" s="21" t="str">
        <f>HYPERLINK("/assets/documents/TissueScan/abstracts/"&amp;P6&amp;".rtf",P6)</f>
        <v>CI0000006167</v>
      </c>
      <c r="R6" s="8" t="str">
        <f>HYPERLINK("images\ci0000006167.1.4x.jpg","CI0000006167.1.4X")</f>
        <v>CI0000006167.1.4X</v>
      </c>
      <c r="S6" s="12" t="str">
        <f t="shared" si="0"/>
        <v>CI0000006167.1.4X</v>
      </c>
      <c r="T6" s="8" t="str">
        <f>HYPERLINK("images\ci0000006167.1.20x.jpg","CI0000006167.1.20X")</f>
        <v>CI0000006167.1.20X</v>
      </c>
      <c r="U6" s="12" t="str">
        <f t="shared" si="1"/>
        <v>CI0000006167.1.20X</v>
      </c>
      <c r="V6" s="6"/>
      <c r="W6" s="6"/>
      <c r="X6" s="8" t="str">
        <f>HYPERLINK("images\ci0000006167.1.b710.jpg","CI0000006167.1.B710")</f>
        <v>CI0000006167.1.B710</v>
      </c>
      <c r="Y6" s="12" t="str">
        <f t="shared" si="2"/>
        <v>CI0000006167.1.B710</v>
      </c>
      <c r="Z6" s="9">
        <v>1.7400000095367432</v>
      </c>
      <c r="AA6" s="9" t="s">
        <v>22</v>
      </c>
      <c r="AB6" s="8" t="str">
        <f>HYPERLINK("images\ci0000006167.1.r369.jpg","CI0000006167.1.R369")</f>
        <v>CI0000006167.1.R369</v>
      </c>
      <c r="AC6" s="12" t="str">
        <f t="shared" si="3"/>
        <v>CI0000006167.1.R369</v>
      </c>
      <c r="AD6" s="6" t="s">
        <v>72</v>
      </c>
      <c r="AE6" s="6" t="s">
        <v>27</v>
      </c>
      <c r="AF6" s="6"/>
      <c r="AG6" s="6"/>
      <c r="AH6" s="3"/>
    </row>
    <row r="7" spans="1:34" ht="12.75">
      <c r="A7" s="10" t="s">
        <v>109</v>
      </c>
      <c r="B7" s="10" t="s">
        <v>113</v>
      </c>
      <c r="C7" s="7" t="s">
        <v>29</v>
      </c>
      <c r="D7" s="7">
        <v>59</v>
      </c>
      <c r="E7" s="6" t="s">
        <v>25</v>
      </c>
      <c r="F7" s="6" t="s">
        <v>9</v>
      </c>
      <c r="G7" s="6" t="s">
        <v>26</v>
      </c>
      <c r="H7" s="6" t="s">
        <v>24</v>
      </c>
      <c r="I7" s="7" t="s">
        <v>28</v>
      </c>
      <c r="J7" s="7">
        <v>5</v>
      </c>
      <c r="K7" s="7">
        <v>0</v>
      </c>
      <c r="L7" s="7">
        <v>85</v>
      </c>
      <c r="M7" s="7">
        <v>0</v>
      </c>
      <c r="N7" s="7">
        <v>10</v>
      </c>
      <c r="O7" s="7">
        <v>0</v>
      </c>
      <c r="P7" s="8" t="str">
        <f>HYPERLINK("abstracts\ci0000019029.rtf","CI0000019029")</f>
        <v>CI0000019029</v>
      </c>
      <c r="Q7" s="21" t="str">
        <f>HYPERLINK("/assets/documents/TissueScan/abstracts/"&amp;P7&amp;".rtf",P7)</f>
        <v>CI0000019029</v>
      </c>
      <c r="R7" s="8" t="str">
        <f>HYPERLINK("images\ci0000019029.2.4x.jpg","CI0000019029.2.4X")</f>
        <v>CI0000019029.2.4X</v>
      </c>
      <c r="S7" s="12" t="str">
        <f t="shared" si="0"/>
        <v>CI0000019029.2.4X</v>
      </c>
      <c r="T7" s="8" t="str">
        <f>HYPERLINK("images\ci0000019029.2.20x.jpg","CI0000019029.2.20X")</f>
        <v>CI0000019029.2.20X</v>
      </c>
      <c r="U7" s="12" t="str">
        <f t="shared" si="1"/>
        <v>CI0000019029.2.20X</v>
      </c>
      <c r="V7" s="6"/>
      <c r="W7" s="6"/>
      <c r="X7" s="8" t="str">
        <f>HYPERLINK("images\ci0000019029.2.b710.jpg","CI0000019029.2.B710")</f>
        <v>CI0000019029.2.B710</v>
      </c>
      <c r="Y7" s="12" t="str">
        <f t="shared" si="2"/>
        <v>CI0000019029.2.B710</v>
      </c>
      <c r="Z7" s="9">
        <v>1.9600000381469727</v>
      </c>
      <c r="AA7" s="9" t="s">
        <v>22</v>
      </c>
      <c r="AB7" s="8" t="str">
        <f>HYPERLINK("images\ci0000019029.2.r369.jpg","CI0000019029.2.R369")</f>
        <v>CI0000019029.2.R369</v>
      </c>
      <c r="AC7" s="12" t="str">
        <f t="shared" si="3"/>
        <v>CI0000019029.2.R369</v>
      </c>
      <c r="AD7" s="6" t="s">
        <v>73</v>
      </c>
      <c r="AE7" s="6" t="s">
        <v>30</v>
      </c>
      <c r="AF7" s="6"/>
      <c r="AG7" s="6"/>
      <c r="AH7" s="3"/>
    </row>
    <row r="8" spans="1:34" ht="12.75">
      <c r="A8" s="10" t="s">
        <v>109</v>
      </c>
      <c r="B8" s="10" t="s">
        <v>114</v>
      </c>
      <c r="C8" s="7" t="s">
        <v>29</v>
      </c>
      <c r="D8" s="7">
        <v>55</v>
      </c>
      <c r="E8" s="6" t="s">
        <v>31</v>
      </c>
      <c r="F8" s="6" t="s">
        <v>9</v>
      </c>
      <c r="G8" s="6" t="s">
        <v>26</v>
      </c>
      <c r="H8" s="6" t="s">
        <v>24</v>
      </c>
      <c r="I8" s="7" t="s">
        <v>28</v>
      </c>
      <c r="J8" s="7">
        <v>0</v>
      </c>
      <c r="K8" s="7">
        <v>0</v>
      </c>
      <c r="L8" s="7">
        <v>70</v>
      </c>
      <c r="M8" s="7">
        <v>0</v>
      </c>
      <c r="N8" s="7">
        <v>30</v>
      </c>
      <c r="O8" s="7">
        <v>0</v>
      </c>
      <c r="P8" s="8" t="str">
        <f>HYPERLINK("abstracts\ci7000000530.rtf","CI7000000530")</f>
        <v>CI7000000530</v>
      </c>
      <c r="Q8" s="21" t="str">
        <f>HYPERLINK("/assets/documents/TissueScan/abstracts/"&amp;P8&amp;".rtf",P8)</f>
        <v>CI7000000530</v>
      </c>
      <c r="R8" s="8" t="str">
        <f>HYPERLINK("images\ci7000000530.1.4x.jpg","CI7000000530.1.4X")</f>
        <v>CI7000000530.1.4X</v>
      </c>
      <c r="S8" s="12" t="str">
        <f t="shared" si="0"/>
        <v>CI7000000530.1.4X</v>
      </c>
      <c r="T8" s="8" t="str">
        <f>HYPERLINK("images\ci7000000530.1.20x.jpg","CI7000000530.1.20X")</f>
        <v>CI7000000530.1.20X</v>
      </c>
      <c r="U8" s="12" t="str">
        <f t="shared" si="1"/>
        <v>CI7000000530.1.20X</v>
      </c>
      <c r="V8" s="6"/>
      <c r="W8" s="6"/>
      <c r="X8" s="8" t="str">
        <f>HYPERLINK("images\ci7000000530.1.b710.jpg","CI7000000530.1.B710")</f>
        <v>CI7000000530.1.B710</v>
      </c>
      <c r="Y8" s="12" t="str">
        <f t="shared" si="2"/>
        <v>CI7000000530.1.B710</v>
      </c>
      <c r="Z8" s="9">
        <v>1.399999976158142</v>
      </c>
      <c r="AA8" s="9" t="s">
        <v>22</v>
      </c>
      <c r="AB8" s="8" t="str">
        <f>HYPERLINK("images\ci7000000530.1.r369.jpg","CI7000000530.1.R369")</f>
        <v>CI7000000530.1.R369</v>
      </c>
      <c r="AC8" s="12" t="str">
        <f t="shared" si="3"/>
        <v>CI7000000530.1.R369</v>
      </c>
      <c r="AD8" s="6" t="s">
        <v>74</v>
      </c>
      <c r="AE8" s="6" t="s">
        <v>32</v>
      </c>
      <c r="AF8" s="6"/>
      <c r="AG8" s="6"/>
      <c r="AH8" s="3"/>
    </row>
    <row r="9" spans="1:34" ht="12.75">
      <c r="A9" s="10" t="s">
        <v>109</v>
      </c>
      <c r="B9" s="10" t="s">
        <v>115</v>
      </c>
      <c r="C9" s="7" t="s">
        <v>23</v>
      </c>
      <c r="D9" s="7">
        <v>51</v>
      </c>
      <c r="E9" s="6" t="s">
        <v>25</v>
      </c>
      <c r="F9" s="6" t="s">
        <v>9</v>
      </c>
      <c r="G9" s="6" t="s">
        <v>26</v>
      </c>
      <c r="H9" s="6" t="s">
        <v>24</v>
      </c>
      <c r="I9" s="7" t="s">
        <v>28</v>
      </c>
      <c r="J9" s="7">
        <v>0</v>
      </c>
      <c r="K9" s="7">
        <v>0</v>
      </c>
      <c r="L9" s="7">
        <v>90</v>
      </c>
      <c r="M9" s="7">
        <v>9</v>
      </c>
      <c r="N9" s="7">
        <v>0</v>
      </c>
      <c r="O9" s="7">
        <v>1</v>
      </c>
      <c r="P9" s="8" t="str">
        <f>HYPERLINK("abstracts\cu0000005040.rtf","CU0000005040")</f>
        <v>CU0000005040</v>
      </c>
      <c r="Q9" s="21" t="str">
        <f>HYPERLINK("/assets/documents/TissueScan/abstracts/"&amp;P9&amp;".rtf",P9)</f>
        <v>CU0000005040</v>
      </c>
      <c r="R9" s="8" t="str">
        <f>HYPERLINK("images\cu0000005040.2.4x.jpg","CU0000005040.2.4X")</f>
        <v>CU0000005040.2.4X</v>
      </c>
      <c r="S9" s="12" t="str">
        <f t="shared" si="0"/>
        <v>CU0000005040.2.4X</v>
      </c>
      <c r="T9" s="8" t="str">
        <f>HYPERLINK("images\cu0000005040.2.20x.jpg","CU0000005040.2.20X")</f>
        <v>CU0000005040.2.20X</v>
      </c>
      <c r="U9" s="12" t="str">
        <f t="shared" si="1"/>
        <v>CU0000005040.2.20X</v>
      </c>
      <c r="V9" s="6"/>
      <c r="W9" s="6"/>
      <c r="X9" s="8" t="str">
        <f>HYPERLINK("images\cu0000005040.2.b710.jpg","CU0000005040.2.B710")</f>
        <v>CU0000005040.2.B710</v>
      </c>
      <c r="Y9" s="12" t="str">
        <f t="shared" si="2"/>
        <v>CU0000005040.2.B710</v>
      </c>
      <c r="Z9" s="9">
        <v>1.8600000143051147</v>
      </c>
      <c r="AA9" s="9" t="s">
        <v>22</v>
      </c>
      <c r="AB9" s="8" t="str">
        <f>HYPERLINK("images\cu0000005040.2.r369.jpg","CU0000005040.2.R369")</f>
        <v>CU0000005040.2.R369</v>
      </c>
      <c r="AC9" s="12" t="str">
        <f t="shared" si="3"/>
        <v>CU0000005040.2.R369</v>
      </c>
      <c r="AD9" s="6" t="s">
        <v>75</v>
      </c>
      <c r="AE9" s="6" t="s">
        <v>27</v>
      </c>
      <c r="AF9" s="6" t="s">
        <v>33</v>
      </c>
      <c r="AG9" s="6"/>
      <c r="AH9" s="3"/>
    </row>
    <row r="10" spans="1:34" ht="12.75">
      <c r="A10" s="10" t="s">
        <v>109</v>
      </c>
      <c r="B10" s="10" t="s">
        <v>116</v>
      </c>
      <c r="C10" s="7" t="s">
        <v>29</v>
      </c>
      <c r="D10" s="7">
        <v>81</v>
      </c>
      <c r="E10" s="6" t="s">
        <v>34</v>
      </c>
      <c r="F10" s="6" t="s">
        <v>9</v>
      </c>
      <c r="G10" s="6" t="s">
        <v>26</v>
      </c>
      <c r="H10" s="6" t="s">
        <v>24</v>
      </c>
      <c r="I10" s="7" t="s">
        <v>28</v>
      </c>
      <c r="J10" s="7">
        <v>30</v>
      </c>
      <c r="K10" s="7">
        <v>0</v>
      </c>
      <c r="L10" s="7">
        <v>70</v>
      </c>
      <c r="M10" s="7">
        <v>0</v>
      </c>
      <c r="N10" s="7">
        <v>0</v>
      </c>
      <c r="O10" s="7">
        <v>0</v>
      </c>
      <c r="P10" s="8" t="str">
        <f>HYPERLINK("abstracts\cu0000005303.rtf","CU0000005303")</f>
        <v>CU0000005303</v>
      </c>
      <c r="Q10" s="21" t="str">
        <f>HYPERLINK("/assets/documents/TissueScan/abstracts/"&amp;P10&amp;".rtf",P10)</f>
        <v>CU0000005303</v>
      </c>
      <c r="R10" s="8" t="str">
        <f>HYPERLINK("images\cu0000005303.1.4x.jpg","CU0000005303.1.4X")</f>
        <v>CU0000005303.1.4X</v>
      </c>
      <c r="S10" s="12" t="str">
        <f t="shared" si="0"/>
        <v>CU0000005303.1.4X</v>
      </c>
      <c r="T10" s="8" t="str">
        <f>HYPERLINK("images\cu0000005303.1.20x.jpg","CU0000005303.1.20X")</f>
        <v>CU0000005303.1.20X</v>
      </c>
      <c r="U10" s="12" t="str">
        <f t="shared" si="1"/>
        <v>CU0000005303.1.20X</v>
      </c>
      <c r="V10" s="6"/>
      <c r="W10" s="6"/>
      <c r="X10" s="8" t="str">
        <f>HYPERLINK("images\cu0000005303.1.b710.jpg","CU0000005303.1.B710")</f>
        <v>CU0000005303.1.B710</v>
      </c>
      <c r="Y10" s="12" t="str">
        <f t="shared" si="2"/>
        <v>CU0000005303.1.B710</v>
      </c>
      <c r="Z10" s="9">
        <v>1.809999942779541</v>
      </c>
      <c r="AA10" s="9" t="s">
        <v>22</v>
      </c>
      <c r="AB10" s="8" t="str">
        <f>HYPERLINK("images\cu0000005303.1.r369.jpg","CU0000005303.1.R369")</f>
        <v>CU0000005303.1.R369</v>
      </c>
      <c r="AC10" s="12" t="str">
        <f t="shared" si="3"/>
        <v>CU0000005303.1.R369</v>
      </c>
      <c r="AD10" s="6" t="s">
        <v>76</v>
      </c>
      <c r="AE10" s="6" t="s">
        <v>27</v>
      </c>
      <c r="AF10" s="6"/>
      <c r="AG10" s="6"/>
      <c r="AH10" s="3"/>
    </row>
    <row r="11" spans="1:34" ht="12.75">
      <c r="A11" s="10" t="s">
        <v>109</v>
      </c>
      <c r="B11" s="10" t="s">
        <v>117</v>
      </c>
      <c r="C11" s="7" t="s">
        <v>23</v>
      </c>
      <c r="D11" s="7">
        <v>69</v>
      </c>
      <c r="E11" s="6" t="s">
        <v>25</v>
      </c>
      <c r="F11" s="6" t="s">
        <v>9</v>
      </c>
      <c r="G11" s="6" t="s">
        <v>26</v>
      </c>
      <c r="H11" s="6" t="s">
        <v>24</v>
      </c>
      <c r="I11" s="7" t="s">
        <v>28</v>
      </c>
      <c r="J11" s="7">
        <v>0</v>
      </c>
      <c r="K11" s="7">
        <v>0</v>
      </c>
      <c r="L11" s="7">
        <v>50</v>
      </c>
      <c r="M11" s="7">
        <v>30</v>
      </c>
      <c r="N11" s="7">
        <v>20</v>
      </c>
      <c r="O11" s="7">
        <v>0</v>
      </c>
      <c r="P11" s="8" t="str">
        <f>HYPERLINK("abstracts\cu0000005315.rtf","CU0000005315")</f>
        <v>CU0000005315</v>
      </c>
      <c r="Q11" s="21" t="str">
        <f>HYPERLINK("/assets/documents/TissueScan/abstracts/"&amp;P11&amp;".rtf",P11)</f>
        <v>CU0000005315</v>
      </c>
      <c r="R11" s="8" t="str">
        <f>HYPERLINK("images\cu0000005315.1.4x.jpg","CU0000005315.1.4X")</f>
        <v>CU0000005315.1.4X</v>
      </c>
      <c r="S11" s="12" t="str">
        <f t="shared" si="0"/>
        <v>CU0000005315.1.4X</v>
      </c>
      <c r="T11" s="8" t="str">
        <f>HYPERLINK("images\cu0000005315.1.20x.jpg","CU0000005315.1.20X")</f>
        <v>CU0000005315.1.20X</v>
      </c>
      <c r="U11" s="12" t="str">
        <f t="shared" si="1"/>
        <v>CU0000005315.1.20X</v>
      </c>
      <c r="V11" s="6"/>
      <c r="W11" s="6"/>
      <c r="X11" s="8" t="str">
        <f>HYPERLINK("images\cu0000005315.1.b710.jpg","CU0000005315.1.B710")</f>
        <v>CU0000005315.1.B710</v>
      </c>
      <c r="Y11" s="12" t="str">
        <f t="shared" si="2"/>
        <v>CU0000005315.1.B710</v>
      </c>
      <c r="Z11" s="9">
        <v>1.0499999523162842</v>
      </c>
      <c r="AA11" s="9" t="s">
        <v>22</v>
      </c>
      <c r="AB11" s="8" t="str">
        <f>HYPERLINK("images\cu0000005315.1.r369.jpg","CU0000005315.1.R369")</f>
        <v>CU0000005315.1.R369</v>
      </c>
      <c r="AC11" s="12" t="str">
        <f t="shared" si="3"/>
        <v>CU0000005315.1.R369</v>
      </c>
      <c r="AD11" s="6" t="s">
        <v>77</v>
      </c>
      <c r="AE11" s="6" t="s">
        <v>30</v>
      </c>
      <c r="AF11" s="6" t="s">
        <v>35</v>
      </c>
      <c r="AG11" s="6"/>
      <c r="AH11" s="3"/>
    </row>
    <row r="12" spans="1:34" ht="12.75">
      <c r="A12" s="10" t="s">
        <v>109</v>
      </c>
      <c r="B12" s="10" t="s">
        <v>118</v>
      </c>
      <c r="C12" s="7" t="s">
        <v>23</v>
      </c>
      <c r="D12" s="7">
        <v>43</v>
      </c>
      <c r="E12" s="6" t="s">
        <v>25</v>
      </c>
      <c r="F12" s="6" t="s">
        <v>9</v>
      </c>
      <c r="G12" s="6" t="s">
        <v>26</v>
      </c>
      <c r="H12" s="6" t="s">
        <v>24</v>
      </c>
      <c r="I12" s="7" t="s">
        <v>28</v>
      </c>
      <c r="J12" s="7">
        <v>0</v>
      </c>
      <c r="K12" s="7">
        <v>0</v>
      </c>
      <c r="L12" s="7">
        <v>95</v>
      </c>
      <c r="M12" s="7">
        <v>0</v>
      </c>
      <c r="N12" s="7">
        <v>5</v>
      </c>
      <c r="O12" s="7">
        <v>0</v>
      </c>
      <c r="P12" s="8" t="str">
        <f>HYPERLINK("abstracts\cu0000005968.rtf","CU0000005968")</f>
        <v>CU0000005968</v>
      </c>
      <c r="Q12" s="21" t="str">
        <f>HYPERLINK("/assets/documents/TissueScan/abstracts/"&amp;P12&amp;".rtf",P12)</f>
        <v>CU0000005968</v>
      </c>
      <c r="R12" s="8" t="str">
        <f>HYPERLINK("images\cu0000005968.2.4x.jpg","CU0000005968.2.4X")</f>
        <v>CU0000005968.2.4X</v>
      </c>
      <c r="S12" s="12" t="str">
        <f t="shared" si="0"/>
        <v>CU0000005968.2.4X</v>
      </c>
      <c r="T12" s="8" t="str">
        <f>HYPERLINK("images\cu0000005968.2.20x.jpg","CU0000005968.2.20X")</f>
        <v>CU0000005968.2.20X</v>
      </c>
      <c r="U12" s="12" t="str">
        <f t="shared" si="1"/>
        <v>CU0000005968.2.20X</v>
      </c>
      <c r="V12" s="6"/>
      <c r="W12" s="6"/>
      <c r="X12" s="8" t="str">
        <f>HYPERLINK("images\cu0000005968.2.b710.jpg","CU0000005968.2.B710")</f>
        <v>CU0000005968.2.B710</v>
      </c>
      <c r="Y12" s="12" t="str">
        <f t="shared" si="2"/>
        <v>CU0000005968.2.B710</v>
      </c>
      <c r="Z12" s="9">
        <v>1.340000033378601</v>
      </c>
      <c r="AA12" s="9" t="s">
        <v>22</v>
      </c>
      <c r="AB12" s="8" t="str">
        <f>HYPERLINK("images\cu0000005968.2.r369.jpg","CU0000005968.2.R369")</f>
        <v>CU0000005968.2.R369</v>
      </c>
      <c r="AC12" s="12" t="str">
        <f t="shared" si="3"/>
        <v>CU0000005968.2.R369</v>
      </c>
      <c r="AD12" s="6" t="s">
        <v>78</v>
      </c>
      <c r="AE12" s="6" t="s">
        <v>32</v>
      </c>
      <c r="AF12" s="6" t="s">
        <v>36</v>
      </c>
      <c r="AG12" s="6"/>
      <c r="AH12" s="3"/>
    </row>
    <row r="13" spans="1:34" ht="12.75">
      <c r="A13" s="10" t="s">
        <v>109</v>
      </c>
      <c r="B13" s="10" t="s">
        <v>119</v>
      </c>
      <c r="C13" s="7" t="s">
        <v>23</v>
      </c>
      <c r="D13" s="7">
        <v>71</v>
      </c>
      <c r="E13" s="6" t="s">
        <v>25</v>
      </c>
      <c r="F13" s="6" t="s">
        <v>9</v>
      </c>
      <c r="G13" s="6" t="s">
        <v>26</v>
      </c>
      <c r="H13" s="6" t="s">
        <v>24</v>
      </c>
      <c r="I13" s="7" t="s">
        <v>28</v>
      </c>
      <c r="J13" s="7">
        <v>0</v>
      </c>
      <c r="K13" s="7">
        <v>0</v>
      </c>
      <c r="L13" s="7">
        <v>95</v>
      </c>
      <c r="M13" s="7">
        <v>0</v>
      </c>
      <c r="N13" s="7">
        <v>0</v>
      </c>
      <c r="O13" s="7">
        <v>5</v>
      </c>
      <c r="P13" s="8" t="str">
        <f>HYPERLINK("abstracts\cu0000012060.rtf","CU0000012060")</f>
        <v>CU0000012060</v>
      </c>
      <c r="Q13" s="21" t="str">
        <f>HYPERLINK("/assets/documents/TissueScan/abstracts/"&amp;P13&amp;".rtf",P13)</f>
        <v>CU0000012060</v>
      </c>
      <c r="R13" s="8" t="str">
        <f>HYPERLINK("images\cu0000012060.1.4x.jpg","CU0000012060.1.4X")</f>
        <v>CU0000012060.1.4X</v>
      </c>
      <c r="S13" s="12" t="str">
        <f t="shared" si="0"/>
        <v>CU0000012060.1.4X</v>
      </c>
      <c r="T13" s="8" t="str">
        <f>HYPERLINK("images\cu0000012060.1.20x.jpg","CU0000012060.1.20X")</f>
        <v>CU0000012060.1.20X</v>
      </c>
      <c r="U13" s="12" t="str">
        <f t="shared" si="1"/>
        <v>CU0000012060.1.20X</v>
      </c>
      <c r="V13" s="6"/>
      <c r="W13" s="6"/>
      <c r="X13" s="8" t="str">
        <f>HYPERLINK("images\cu0000012060.1.b710.jpg","CU0000012060.1.B710")</f>
        <v>CU0000012060.1.B710</v>
      </c>
      <c r="Y13" s="12" t="str">
        <f t="shared" si="2"/>
        <v>CU0000012060.1.B710</v>
      </c>
      <c r="Z13" s="9">
        <v>1.440000057220459</v>
      </c>
      <c r="AA13" s="9" t="s">
        <v>22</v>
      </c>
      <c r="AB13" s="8" t="str">
        <f>HYPERLINK("images\cu0000012060.1.r369.jpg","CU0000012060.1.R369")</f>
        <v>CU0000012060.1.R369</v>
      </c>
      <c r="AC13" s="12" t="str">
        <f t="shared" si="3"/>
        <v>CU0000012060.1.R369</v>
      </c>
      <c r="AD13" s="6" t="s">
        <v>79</v>
      </c>
      <c r="AE13" s="6" t="s">
        <v>37</v>
      </c>
      <c r="AF13" s="6"/>
      <c r="AG13" s="6"/>
      <c r="AH13" s="3"/>
    </row>
    <row r="14" spans="1:34" ht="12.75">
      <c r="A14" s="10" t="s">
        <v>109</v>
      </c>
      <c r="B14" s="10" t="s">
        <v>120</v>
      </c>
      <c r="C14" s="7" t="s">
        <v>23</v>
      </c>
      <c r="D14" s="7">
        <v>76</v>
      </c>
      <c r="E14" s="6" t="s">
        <v>31</v>
      </c>
      <c r="F14" s="6" t="s">
        <v>9</v>
      </c>
      <c r="G14" s="6" t="s">
        <v>26</v>
      </c>
      <c r="H14" s="6" t="s">
        <v>24</v>
      </c>
      <c r="I14" s="7" t="s">
        <v>38</v>
      </c>
      <c r="J14" s="7">
        <v>15</v>
      </c>
      <c r="K14" s="7">
        <v>0</v>
      </c>
      <c r="L14" s="7">
        <v>70</v>
      </c>
      <c r="M14" s="7">
        <v>0</v>
      </c>
      <c r="N14" s="7">
        <v>5</v>
      </c>
      <c r="O14" s="7">
        <v>10</v>
      </c>
      <c r="P14" s="8" t="str">
        <f>HYPERLINK("abstracts\ci7000000139.rtf","CI7000000139")</f>
        <v>CI7000000139</v>
      </c>
      <c r="Q14" s="21" t="str">
        <f>HYPERLINK("/assets/documents/TissueScan/abstracts/"&amp;P14&amp;".rtf",P14)</f>
        <v>CI7000000139</v>
      </c>
      <c r="R14" s="8" t="str">
        <f>HYPERLINK("images\ci7000000139.1.4x.jpg","CI7000000139.1.4X")</f>
        <v>CI7000000139.1.4X</v>
      </c>
      <c r="S14" s="12" t="str">
        <f t="shared" si="0"/>
        <v>CI7000000139.1.4X</v>
      </c>
      <c r="T14" s="8" t="str">
        <f>HYPERLINK("images\ci7000000139.1.20x.jpg","CI7000000139.1.20X")</f>
        <v>CI7000000139.1.20X</v>
      </c>
      <c r="U14" s="12" t="str">
        <f t="shared" si="1"/>
        <v>CI7000000139.1.20X</v>
      </c>
      <c r="V14" s="6"/>
      <c r="W14" s="6"/>
      <c r="X14" s="8" t="str">
        <f>HYPERLINK("images\ci7000000139.1.b710.jpg","CI7000000139.1.B710")</f>
        <v>CI7000000139.1.B710</v>
      </c>
      <c r="Y14" s="12" t="str">
        <f t="shared" si="2"/>
        <v>CI7000000139.1.B710</v>
      </c>
      <c r="Z14" s="9">
        <v>1.4800000190734863</v>
      </c>
      <c r="AA14" s="9" t="s">
        <v>22</v>
      </c>
      <c r="AB14" s="8" t="str">
        <f>HYPERLINK("images\ci7000000139.1.r369.jpg","CI7000000139.1.R369")</f>
        <v>CI7000000139.1.R369</v>
      </c>
      <c r="AC14" s="12" t="str">
        <f t="shared" si="3"/>
        <v>CI7000000139.1.R369</v>
      </c>
      <c r="AD14" s="6" t="s">
        <v>80</v>
      </c>
      <c r="AE14" s="6" t="s">
        <v>39</v>
      </c>
      <c r="AF14" s="6"/>
      <c r="AG14" s="6"/>
      <c r="AH14" s="3"/>
    </row>
    <row r="15" spans="1:34" ht="12.75">
      <c r="A15" s="10" t="s">
        <v>109</v>
      </c>
      <c r="B15" s="11" t="s">
        <v>121</v>
      </c>
      <c r="C15" s="7" t="s">
        <v>23</v>
      </c>
      <c r="D15" s="7">
        <v>61</v>
      </c>
      <c r="E15" s="6" t="s">
        <v>25</v>
      </c>
      <c r="F15" s="6" t="s">
        <v>9</v>
      </c>
      <c r="G15" s="6" t="s">
        <v>26</v>
      </c>
      <c r="H15" s="6" t="s">
        <v>24</v>
      </c>
      <c r="I15" s="7" t="s">
        <v>40</v>
      </c>
      <c r="J15" s="7">
        <v>5</v>
      </c>
      <c r="K15" s="7">
        <v>0</v>
      </c>
      <c r="L15" s="7">
        <v>90</v>
      </c>
      <c r="M15" s="7">
        <v>0</v>
      </c>
      <c r="N15" s="7">
        <v>0</v>
      </c>
      <c r="O15" s="7">
        <v>5</v>
      </c>
      <c r="P15" s="8" t="str">
        <f>HYPERLINK("abstracts\cu0000001521.rtf","CU0000001521")</f>
        <v>CU0000001521</v>
      </c>
      <c r="Q15" s="21" t="str">
        <f>HYPERLINK("/assets/documents/TissueScan/abstracts/"&amp;P15&amp;".rtf",P15)</f>
        <v>CU0000001521</v>
      </c>
      <c r="R15" s="8" t="str">
        <f>HYPERLINK("images\cu0000001521.1.4x.jpg","CU0000001521.1.4X")</f>
        <v>CU0000001521.1.4X</v>
      </c>
      <c r="S15" s="12" t="str">
        <f t="shared" si="0"/>
        <v>CU0000001521.1.4X</v>
      </c>
      <c r="T15" s="8" t="str">
        <f>HYPERLINK("images\cu0000001521.1.20x.jpg","CU0000001521.1.20X")</f>
        <v>CU0000001521.1.20X</v>
      </c>
      <c r="U15" s="12" t="str">
        <f t="shared" si="1"/>
        <v>CU0000001521.1.20X</v>
      </c>
      <c r="V15" s="6"/>
      <c r="W15" s="6"/>
      <c r="X15" s="8" t="str">
        <f>HYPERLINK("images\cu0000001521.1.b710.jpg","CU0000001521.1.B710")</f>
        <v>CU0000001521.1.B710</v>
      </c>
      <c r="Y15" s="12" t="str">
        <f t="shared" si="2"/>
        <v>CU0000001521.1.B710</v>
      </c>
      <c r="Z15" s="9">
        <v>1.190000057220459</v>
      </c>
      <c r="AA15" s="9" t="s">
        <v>22</v>
      </c>
      <c r="AB15" s="8" t="str">
        <f>HYPERLINK("images\cu0000001521.1.r369.jpg","CU0000001521.1.R369")</f>
        <v>CU0000001521.1.R369</v>
      </c>
      <c r="AC15" s="12" t="str">
        <f t="shared" si="3"/>
        <v>CU0000001521.1.R369</v>
      </c>
      <c r="AD15" s="6" t="s">
        <v>81</v>
      </c>
      <c r="AE15" s="6" t="s">
        <v>37</v>
      </c>
      <c r="AF15" s="6"/>
      <c r="AG15" s="6"/>
      <c r="AH15" s="3"/>
    </row>
    <row r="16" spans="1:34" ht="12.75">
      <c r="A16" s="10" t="s">
        <v>109</v>
      </c>
      <c r="B16" s="10" t="s">
        <v>122</v>
      </c>
      <c r="C16" s="7" t="s">
        <v>23</v>
      </c>
      <c r="D16" s="7">
        <v>57</v>
      </c>
      <c r="E16" s="6" t="s">
        <v>25</v>
      </c>
      <c r="F16" s="6" t="s">
        <v>9</v>
      </c>
      <c r="G16" s="6" t="s">
        <v>26</v>
      </c>
      <c r="H16" s="6" t="s">
        <v>24</v>
      </c>
      <c r="I16" s="7" t="s">
        <v>40</v>
      </c>
      <c r="J16" s="7">
        <v>0</v>
      </c>
      <c r="K16" s="7">
        <v>0</v>
      </c>
      <c r="L16" s="7">
        <v>60</v>
      </c>
      <c r="M16" s="7">
        <v>20</v>
      </c>
      <c r="N16" s="7">
        <v>20</v>
      </c>
      <c r="O16" s="7">
        <v>0</v>
      </c>
      <c r="P16" s="8" t="str">
        <f>HYPERLINK("abstracts\cu0000006040.rtf","CU0000006040")</f>
        <v>CU0000006040</v>
      </c>
      <c r="Q16" s="21" t="str">
        <f>HYPERLINK("/assets/documents/TissueScan/abstracts/"&amp;P16&amp;".rtf",P16)</f>
        <v>CU0000006040</v>
      </c>
      <c r="R16" s="8" t="str">
        <f>HYPERLINK("images\cu0000006040.1.4x.jpg","CU0000006040.1.4X")</f>
        <v>CU0000006040.1.4X</v>
      </c>
      <c r="S16" s="12" t="str">
        <f t="shared" si="0"/>
        <v>CU0000006040.1.4X</v>
      </c>
      <c r="T16" s="8" t="str">
        <f>HYPERLINK("images\cu0000006040.1.20x.jpg","CU0000006040.1.20X")</f>
        <v>CU0000006040.1.20X</v>
      </c>
      <c r="U16" s="12" t="str">
        <f t="shared" si="1"/>
        <v>CU0000006040.1.20X</v>
      </c>
      <c r="V16" s="6"/>
      <c r="W16" s="6"/>
      <c r="X16" s="8" t="str">
        <f>HYPERLINK("images\cu0000006040.1.b710.jpg","CU0000006040.1.B710")</f>
        <v>CU0000006040.1.B710</v>
      </c>
      <c r="Y16" s="12" t="str">
        <f t="shared" si="2"/>
        <v>CU0000006040.1.B710</v>
      </c>
      <c r="Z16" s="9">
        <v>1.3300000429153442</v>
      </c>
      <c r="AA16" s="9" t="s">
        <v>22</v>
      </c>
      <c r="AB16" s="8" t="str">
        <f>HYPERLINK("images\cu0000006040.1.r369.jpg","CU0000006040.1.R369")</f>
        <v>CU0000006040.1.R369</v>
      </c>
      <c r="AC16" s="12" t="str">
        <f t="shared" si="3"/>
        <v>CU0000006040.1.R369</v>
      </c>
      <c r="AD16" s="6" t="s">
        <v>82</v>
      </c>
      <c r="AE16" s="6" t="s">
        <v>32</v>
      </c>
      <c r="AF16" s="6"/>
      <c r="AG16" s="6"/>
      <c r="AH16" s="3"/>
    </row>
    <row r="17" spans="1:34" ht="12.75">
      <c r="A17" s="10" t="s">
        <v>109</v>
      </c>
      <c r="B17" s="11" t="s">
        <v>123</v>
      </c>
      <c r="C17" s="7" t="s">
        <v>23</v>
      </c>
      <c r="D17" s="7">
        <v>64</v>
      </c>
      <c r="E17" s="6" t="s">
        <v>31</v>
      </c>
      <c r="F17" s="6" t="s">
        <v>9</v>
      </c>
      <c r="G17" s="6" t="s">
        <v>26</v>
      </c>
      <c r="H17" s="6" t="s">
        <v>24</v>
      </c>
      <c r="I17" s="7" t="s">
        <v>40</v>
      </c>
      <c r="J17" s="7">
        <v>1</v>
      </c>
      <c r="K17" s="7">
        <v>0</v>
      </c>
      <c r="L17" s="7">
        <v>95</v>
      </c>
      <c r="M17" s="7">
        <v>0</v>
      </c>
      <c r="N17" s="7">
        <v>4</v>
      </c>
      <c r="O17" s="7">
        <v>0</v>
      </c>
      <c r="P17" s="8" t="str">
        <f>HYPERLINK("abstracts\ci0000021204.rtf","CI0000021204")</f>
        <v>CI0000021204</v>
      </c>
      <c r="Q17" s="21" t="str">
        <f>HYPERLINK("/assets/documents/TissueScan/abstracts/"&amp;P17&amp;".rtf",P17)</f>
        <v>CI0000021204</v>
      </c>
      <c r="R17" s="8" t="str">
        <f>HYPERLINK("images\ci0000021204.1.4x.jpg","CI0000021204.1.4X")</f>
        <v>CI0000021204.1.4X</v>
      </c>
      <c r="S17" s="12" t="str">
        <f t="shared" si="0"/>
        <v>CI0000021204.1.4X</v>
      </c>
      <c r="T17" s="8" t="str">
        <f>HYPERLINK("images\ci0000021204.1.20x.jpg","CI0000021204.1.20X")</f>
        <v>CI0000021204.1.20X</v>
      </c>
      <c r="U17" s="12" t="str">
        <f t="shared" si="1"/>
        <v>CI0000021204.1.20X</v>
      </c>
      <c r="V17" s="6"/>
      <c r="W17" s="6"/>
      <c r="X17" s="8" t="str">
        <f>HYPERLINK("images\ci0000021204.1.b710.jpg","CI0000021204.1.B710")</f>
        <v>CI0000021204.1.B710</v>
      </c>
      <c r="Y17" s="12" t="str">
        <f t="shared" si="2"/>
        <v>CI0000021204.1.B710</v>
      </c>
      <c r="Z17" s="9">
        <v>1.7000000476837158</v>
      </c>
      <c r="AA17" s="9" t="s">
        <v>22</v>
      </c>
      <c r="AB17" s="8" t="str">
        <f>HYPERLINK("images\ci0000021204.1.r369.jpg","CI0000021204.1.R369")</f>
        <v>CI0000021204.1.R369</v>
      </c>
      <c r="AC17" s="12" t="str">
        <f t="shared" si="3"/>
        <v>CI0000021204.1.R369</v>
      </c>
      <c r="AD17" s="6" t="s">
        <v>83</v>
      </c>
      <c r="AE17" s="6" t="s">
        <v>37</v>
      </c>
      <c r="AF17" s="6"/>
      <c r="AG17" s="6"/>
      <c r="AH17" s="3"/>
    </row>
    <row r="18" spans="1:34" ht="12.75">
      <c r="A18" s="10" t="s">
        <v>109</v>
      </c>
      <c r="B18" s="10" t="s">
        <v>124</v>
      </c>
      <c r="C18" s="7" t="s">
        <v>23</v>
      </c>
      <c r="D18" s="7">
        <v>74</v>
      </c>
      <c r="E18" s="6" t="s">
        <v>25</v>
      </c>
      <c r="F18" s="6" t="s">
        <v>9</v>
      </c>
      <c r="G18" s="6" t="s">
        <v>26</v>
      </c>
      <c r="H18" s="6" t="s">
        <v>24</v>
      </c>
      <c r="I18" s="7" t="s">
        <v>41</v>
      </c>
      <c r="J18" s="7">
        <v>0</v>
      </c>
      <c r="K18" s="7">
        <v>0</v>
      </c>
      <c r="L18" s="7">
        <v>85</v>
      </c>
      <c r="M18" s="7">
        <v>0</v>
      </c>
      <c r="N18" s="7">
        <v>5</v>
      </c>
      <c r="O18" s="7">
        <v>10</v>
      </c>
      <c r="P18" s="8" t="str">
        <f>HYPERLINK("abstracts\cu0000011742.rtf","CU0000011742")</f>
        <v>CU0000011742</v>
      </c>
      <c r="Q18" s="21" t="str">
        <f>HYPERLINK("/assets/documents/TissueScan/abstracts/"&amp;P18&amp;".rtf",P18)</f>
        <v>CU0000011742</v>
      </c>
      <c r="R18" s="8" t="str">
        <f>HYPERLINK("images\cu0000011742.1.4x.jpg","CU0000011742.1.4X")</f>
        <v>CU0000011742.1.4X</v>
      </c>
      <c r="S18" s="12" t="str">
        <f t="shared" si="0"/>
        <v>CU0000011742.1.4X</v>
      </c>
      <c r="T18" s="8" t="str">
        <f>HYPERLINK("images\cu0000011742.1.20x.jpg","CU0000011742.1.20X")</f>
        <v>CU0000011742.1.20X</v>
      </c>
      <c r="U18" s="12" t="str">
        <f t="shared" si="1"/>
        <v>CU0000011742.1.20X</v>
      </c>
      <c r="V18" s="6"/>
      <c r="W18" s="6"/>
      <c r="X18" s="8" t="str">
        <f>HYPERLINK("images\cu0000011742.1.b710.jpg","CU0000011742.1.B710")</f>
        <v>CU0000011742.1.B710</v>
      </c>
      <c r="Y18" s="12" t="str">
        <f t="shared" si="2"/>
        <v>CU0000011742.1.B710</v>
      </c>
      <c r="Z18" s="9">
        <v>2.069999933242798</v>
      </c>
      <c r="AA18" s="9" t="s">
        <v>22</v>
      </c>
      <c r="AB18" s="8" t="str">
        <f>HYPERLINK("images\cu0000011742.1.r369.jpg","CU0000011742.1.R369")</f>
        <v>CU0000011742.1.R369</v>
      </c>
      <c r="AC18" s="12" t="str">
        <f t="shared" si="3"/>
        <v>CU0000011742.1.R369</v>
      </c>
      <c r="AD18" s="6" t="s">
        <v>84</v>
      </c>
      <c r="AE18" s="6" t="s">
        <v>30</v>
      </c>
      <c r="AF18" s="6"/>
      <c r="AG18" s="6"/>
      <c r="AH18" s="3"/>
    </row>
    <row r="19" spans="1:34" ht="12.75">
      <c r="A19" s="10" t="s">
        <v>109</v>
      </c>
      <c r="B19" s="11" t="s">
        <v>125</v>
      </c>
      <c r="C19" s="7" t="s">
        <v>29</v>
      </c>
      <c r="D19" s="7">
        <v>66</v>
      </c>
      <c r="E19" s="6" t="s">
        <v>25</v>
      </c>
      <c r="F19" s="6" t="s">
        <v>9</v>
      </c>
      <c r="G19" s="6" t="s">
        <v>26</v>
      </c>
      <c r="H19" s="6" t="s">
        <v>24</v>
      </c>
      <c r="I19" s="7" t="s">
        <v>41</v>
      </c>
      <c r="J19" s="7">
        <v>0</v>
      </c>
      <c r="K19" s="7">
        <v>0</v>
      </c>
      <c r="L19" s="7">
        <v>95</v>
      </c>
      <c r="M19" s="7">
        <v>5</v>
      </c>
      <c r="N19" s="7">
        <v>0</v>
      </c>
      <c r="O19" s="7">
        <v>0</v>
      </c>
      <c r="P19" s="8" t="str">
        <f>HYPERLINK("abstracts\ci0000018898.rtf","CI0000018898")</f>
        <v>CI0000018898</v>
      </c>
      <c r="Q19" s="21" t="str">
        <f>HYPERLINK("/assets/documents/TissueScan/abstracts/"&amp;P19&amp;".rtf",P19)</f>
        <v>CI0000018898</v>
      </c>
      <c r="R19" s="8" t="str">
        <f>HYPERLINK("images\ci0000018898.1.4x.jpg","CI0000018898.1.4X")</f>
        <v>CI0000018898.1.4X</v>
      </c>
      <c r="S19" s="12" t="str">
        <f t="shared" si="0"/>
        <v>CI0000018898.1.4X</v>
      </c>
      <c r="T19" s="8" t="str">
        <f>HYPERLINK("images\ci0000018898.1.20x.jpg","CI0000018898.1.20X")</f>
        <v>CI0000018898.1.20X</v>
      </c>
      <c r="U19" s="12" t="str">
        <f t="shared" si="1"/>
        <v>CI0000018898.1.20X</v>
      </c>
      <c r="V19" s="6"/>
      <c r="W19" s="6"/>
      <c r="X19" s="8" t="str">
        <f>HYPERLINK("images\ci0000018898.1.b710.jpg","CI0000018898.1.B710")</f>
        <v>CI0000018898.1.B710</v>
      </c>
      <c r="Y19" s="12" t="str">
        <f t="shared" si="2"/>
        <v>CI0000018898.1.B710</v>
      </c>
      <c r="Z19" s="9">
        <v>1.850000023841858</v>
      </c>
      <c r="AA19" s="9" t="s">
        <v>22</v>
      </c>
      <c r="AB19" s="8" t="str">
        <f>HYPERLINK("images\ci0000018898.1.r369.jpg","CI0000018898.1.R369")</f>
        <v>CI0000018898.1.R369</v>
      </c>
      <c r="AC19" s="12" t="str">
        <f t="shared" si="3"/>
        <v>CI0000018898.1.R369</v>
      </c>
      <c r="AD19" s="6" t="s">
        <v>85</v>
      </c>
      <c r="AE19" s="6" t="s">
        <v>30</v>
      </c>
      <c r="AF19" s="6"/>
      <c r="AG19" s="6"/>
      <c r="AH19" s="3"/>
    </row>
    <row r="20" spans="1:34" ht="12.75">
      <c r="A20" s="10" t="s">
        <v>109</v>
      </c>
      <c r="B20" s="10" t="s">
        <v>126</v>
      </c>
      <c r="C20" s="7" t="s">
        <v>29</v>
      </c>
      <c r="D20" s="7">
        <v>36</v>
      </c>
      <c r="E20" s="6" t="s">
        <v>42</v>
      </c>
      <c r="F20" s="6" t="s">
        <v>9</v>
      </c>
      <c r="G20" s="6" t="s">
        <v>26</v>
      </c>
      <c r="H20" s="6" t="s">
        <v>24</v>
      </c>
      <c r="I20" s="7" t="s">
        <v>44</v>
      </c>
      <c r="J20" s="7">
        <v>0</v>
      </c>
      <c r="K20" s="7">
        <v>0</v>
      </c>
      <c r="L20" s="7">
        <v>90</v>
      </c>
      <c r="M20" s="7">
        <v>10</v>
      </c>
      <c r="N20" s="7">
        <v>0</v>
      </c>
      <c r="O20" s="7">
        <v>0</v>
      </c>
      <c r="P20" s="8" t="str">
        <f>HYPERLINK("abstracts\ci0000000278.rtf","CI0000000278")</f>
        <v>CI0000000278</v>
      </c>
      <c r="Q20" s="21" t="str">
        <f>HYPERLINK("/assets/documents/TissueScan/abstracts/"&amp;P20&amp;".rtf",P20)</f>
        <v>CI0000000278</v>
      </c>
      <c r="R20" s="8" t="str">
        <f>HYPERLINK("images\ci0000000278.1.4x.jpg","CI0000000278.1.4X")</f>
        <v>CI0000000278.1.4X</v>
      </c>
      <c r="S20" s="12" t="str">
        <f t="shared" si="0"/>
        <v>CI0000000278.1.4X</v>
      </c>
      <c r="T20" s="8" t="str">
        <f>HYPERLINK("images\ci0000000278.1.20x.jpg","CI0000000278.1.20X")</f>
        <v>CI0000000278.1.20X</v>
      </c>
      <c r="U20" s="12" t="str">
        <f t="shared" si="1"/>
        <v>CI0000000278.1.20X</v>
      </c>
      <c r="V20" s="8" t="str">
        <f>HYPERLINK("images\ci0000000278.1.g161.jpg","CI0000000278.1.G161")</f>
        <v>CI0000000278.1.G161</v>
      </c>
      <c r="W20" s="12" t="str">
        <f>HYPERLINK("/images/rapidscan/"&amp;V20&amp;".jpg",V20)</f>
        <v>CI0000000278.1.G161</v>
      </c>
      <c r="X20" s="8" t="str">
        <f>HYPERLINK("images\ci0000000278.1.b312.jpg","CI0000000278.1.B312")</f>
        <v>CI0000000278.1.B312</v>
      </c>
      <c r="Y20" s="12" t="str">
        <f t="shared" si="2"/>
        <v>CI0000000278.1.B312</v>
      </c>
      <c r="Z20" s="9">
        <v>1.2300000190734863</v>
      </c>
      <c r="AA20" s="9" t="s">
        <v>22</v>
      </c>
      <c r="AB20" s="8" t="str">
        <f>HYPERLINK("images\ci0000000278.1.r165.jpg","CI0000000278.1.R165")</f>
        <v>CI0000000278.1.R165</v>
      </c>
      <c r="AC20" s="12" t="str">
        <f t="shared" si="3"/>
        <v>CI0000000278.1.R165</v>
      </c>
      <c r="AD20" s="6" t="s">
        <v>86</v>
      </c>
      <c r="AE20" s="6" t="s">
        <v>43</v>
      </c>
      <c r="AF20" s="6"/>
      <c r="AG20" s="6"/>
      <c r="AH20" s="3"/>
    </row>
    <row r="21" spans="1:34" ht="12.75">
      <c r="A21" s="10" t="s">
        <v>109</v>
      </c>
      <c r="B21" s="11" t="s">
        <v>127</v>
      </c>
      <c r="C21" s="7" t="s">
        <v>23</v>
      </c>
      <c r="D21" s="7">
        <v>76</v>
      </c>
      <c r="E21" s="6" t="s">
        <v>42</v>
      </c>
      <c r="F21" s="6" t="s">
        <v>9</v>
      </c>
      <c r="G21" s="6" t="s">
        <v>26</v>
      </c>
      <c r="H21" s="6" t="s">
        <v>24</v>
      </c>
      <c r="I21" s="7" t="s">
        <v>44</v>
      </c>
      <c r="J21" s="7">
        <v>0</v>
      </c>
      <c r="K21" s="7">
        <v>0</v>
      </c>
      <c r="L21" s="7">
        <v>97</v>
      </c>
      <c r="M21" s="7">
        <v>3</v>
      </c>
      <c r="N21" s="7">
        <v>0</v>
      </c>
      <c r="O21" s="7">
        <v>0</v>
      </c>
      <c r="P21" s="8" t="str">
        <f>HYPERLINK("abstracts\ci0000006120.rtf","CI0000006120")</f>
        <v>CI0000006120</v>
      </c>
      <c r="Q21" s="21" t="str">
        <f>HYPERLINK("/assets/documents/TissueScan/abstracts/"&amp;P21&amp;".rtf",P21)</f>
        <v>CI0000006120</v>
      </c>
      <c r="R21" s="8" t="str">
        <f>HYPERLINK("images\ci0000006120.1.4x.jpg","CI0000006120.1.4X")</f>
        <v>CI0000006120.1.4X</v>
      </c>
      <c r="S21" s="12" t="str">
        <f t="shared" si="0"/>
        <v>CI0000006120.1.4X</v>
      </c>
      <c r="T21" s="8" t="str">
        <f>HYPERLINK("images\ci0000006120.1.20x.jpg","CI0000006120.1.20X")</f>
        <v>CI0000006120.1.20X</v>
      </c>
      <c r="U21" s="12" t="str">
        <f t="shared" si="1"/>
        <v>CI0000006120.1.20X</v>
      </c>
      <c r="V21" s="8" t="str">
        <f>HYPERLINK("images\ci0000006120.1.g162.jpg","CI0000006120.1.G162")</f>
        <v>CI0000006120.1.G162</v>
      </c>
      <c r="W21" s="12" t="str">
        <f>HYPERLINK("/images/rapidscan/"&amp;V21&amp;".jpg",V21)</f>
        <v>CI0000006120.1.G162</v>
      </c>
      <c r="X21" s="8" t="str">
        <f>HYPERLINK("images\ci0000006120.1.b315.jpg","CI0000006120.1.B315")</f>
        <v>CI0000006120.1.B315</v>
      </c>
      <c r="Y21" s="12" t="str">
        <f t="shared" si="2"/>
        <v>CI0000006120.1.B315</v>
      </c>
      <c r="Z21" s="9">
        <v>1.409999966621399</v>
      </c>
      <c r="AA21" s="9" t="s">
        <v>22</v>
      </c>
      <c r="AB21" s="8" t="str">
        <f>HYPERLINK("images\ci0000006120.1.r166.jpg","CI0000006120.1.R166")</f>
        <v>CI0000006120.1.R166</v>
      </c>
      <c r="AC21" s="12" t="str">
        <f t="shared" si="3"/>
        <v>CI0000006120.1.R166</v>
      </c>
      <c r="AD21" s="6" t="s">
        <v>87</v>
      </c>
      <c r="AE21" s="6" t="s">
        <v>43</v>
      </c>
      <c r="AF21" s="6"/>
      <c r="AG21" s="6"/>
      <c r="AH21" s="3"/>
    </row>
    <row r="22" spans="1:34" ht="12.75">
      <c r="A22" s="10" t="s">
        <v>109</v>
      </c>
      <c r="B22" s="10" t="s">
        <v>128</v>
      </c>
      <c r="C22" s="7" t="s">
        <v>23</v>
      </c>
      <c r="D22" s="7">
        <v>50</v>
      </c>
      <c r="E22" s="6" t="s">
        <v>45</v>
      </c>
      <c r="F22" s="6" t="s">
        <v>9</v>
      </c>
      <c r="G22" s="6" t="s">
        <v>26</v>
      </c>
      <c r="H22" s="6" t="s">
        <v>24</v>
      </c>
      <c r="I22" s="7" t="s">
        <v>44</v>
      </c>
      <c r="J22" s="7">
        <v>0</v>
      </c>
      <c r="K22" s="7">
        <v>0</v>
      </c>
      <c r="L22" s="7">
        <v>75</v>
      </c>
      <c r="M22" s="7">
        <v>15</v>
      </c>
      <c r="N22" s="7">
        <v>0</v>
      </c>
      <c r="O22" s="7">
        <v>10</v>
      </c>
      <c r="P22" s="8" t="str">
        <f>HYPERLINK("abstracts\cu0000000253.rtf","CU0000000253")</f>
        <v>CU0000000253</v>
      </c>
      <c r="Q22" s="21" t="str">
        <f>HYPERLINK("/assets/documents/TissueScan/abstracts/"&amp;P22&amp;".rtf",P22)</f>
        <v>CU0000000253</v>
      </c>
      <c r="R22" s="8" t="str">
        <f>HYPERLINK("images\cu0000000253.2.4x.jpg","CU0000000253.2.4X")</f>
        <v>CU0000000253.2.4X</v>
      </c>
      <c r="S22" s="12" t="str">
        <f t="shared" si="0"/>
        <v>CU0000000253.2.4X</v>
      </c>
      <c r="T22" s="8" t="str">
        <f>HYPERLINK("images\cu0000000253.2.20x.jpg","CU0000000253.2.20X")</f>
        <v>CU0000000253.2.20X</v>
      </c>
      <c r="U22" s="12" t="str">
        <f t="shared" si="1"/>
        <v>CU0000000253.2.20X</v>
      </c>
      <c r="V22" s="6"/>
      <c r="W22" s="6"/>
      <c r="X22" s="8" t="str">
        <f>HYPERLINK("images\cu0000000253.2.b710.jpg","CU0000000253.2.B710")</f>
        <v>CU0000000253.2.B710</v>
      </c>
      <c r="Y22" s="12" t="str">
        <f t="shared" si="2"/>
        <v>CU0000000253.2.B710</v>
      </c>
      <c r="Z22" s="9">
        <v>1.7899999618530273</v>
      </c>
      <c r="AA22" s="9" t="s">
        <v>22</v>
      </c>
      <c r="AB22" s="8" t="str">
        <f>HYPERLINK("images\cu0000000253.2.r369.jpg","CU0000000253.2.R369")</f>
        <v>CU0000000253.2.R369</v>
      </c>
      <c r="AC22" s="12" t="str">
        <f t="shared" si="3"/>
        <v>CU0000000253.2.R369</v>
      </c>
      <c r="AD22" s="6" t="s">
        <v>88</v>
      </c>
      <c r="AE22" s="6" t="s">
        <v>46</v>
      </c>
      <c r="AF22" s="6" t="s">
        <v>47</v>
      </c>
      <c r="AG22" s="6"/>
      <c r="AH22" s="3"/>
    </row>
    <row r="23" spans="1:34" ht="12.75">
      <c r="A23" s="10" t="s">
        <v>109</v>
      </c>
      <c r="B23" s="11" t="s">
        <v>129</v>
      </c>
      <c r="C23" s="7" t="s">
        <v>23</v>
      </c>
      <c r="D23" s="7">
        <v>41</v>
      </c>
      <c r="E23" s="6" t="s">
        <v>48</v>
      </c>
      <c r="F23" s="6" t="s">
        <v>9</v>
      </c>
      <c r="G23" s="6" t="s">
        <v>26</v>
      </c>
      <c r="H23" s="6" t="s">
        <v>24</v>
      </c>
      <c r="I23" s="7" t="s">
        <v>44</v>
      </c>
      <c r="J23" s="7">
        <v>0</v>
      </c>
      <c r="K23" s="7">
        <v>0</v>
      </c>
      <c r="L23" s="7">
        <v>98</v>
      </c>
      <c r="M23" s="7">
        <v>0</v>
      </c>
      <c r="N23" s="7">
        <v>1</v>
      </c>
      <c r="O23" s="7">
        <v>1</v>
      </c>
      <c r="P23" s="8" t="str">
        <f>HYPERLINK("abstracts\cu0000001547.rtf","CU0000001547")</f>
        <v>CU0000001547</v>
      </c>
      <c r="Q23" s="21" t="str">
        <f>HYPERLINK("/assets/documents/TissueScan/abstracts/"&amp;P23&amp;".rtf",P23)</f>
        <v>CU0000001547</v>
      </c>
      <c r="R23" s="8" t="str">
        <f>HYPERLINK("images\cu0000001547.2.4x.jpg","CU0000001547.2.4X")</f>
        <v>CU0000001547.2.4X</v>
      </c>
      <c r="S23" s="12" t="str">
        <f t="shared" si="0"/>
        <v>CU0000001547.2.4X</v>
      </c>
      <c r="T23" s="8" t="str">
        <f>HYPERLINK("images\cu0000001547.2.20x.jpg","CU0000001547.2.20X")</f>
        <v>CU0000001547.2.20X</v>
      </c>
      <c r="U23" s="12" t="str">
        <f t="shared" si="1"/>
        <v>CU0000001547.2.20X</v>
      </c>
      <c r="V23" s="6"/>
      <c r="W23" s="6"/>
      <c r="X23" s="8" t="str">
        <f>HYPERLINK("images\cu0000001547.2.b710.jpg","CU0000001547.2.B710")</f>
        <v>CU0000001547.2.B710</v>
      </c>
      <c r="Y23" s="12" t="str">
        <f t="shared" si="2"/>
        <v>CU0000001547.2.B710</v>
      </c>
      <c r="Z23" s="9">
        <v>1.850000023841858</v>
      </c>
      <c r="AA23" s="9" t="s">
        <v>22</v>
      </c>
      <c r="AB23" s="8" t="str">
        <f>HYPERLINK("images\cu0000001547.2.r369.jpg","CU0000001547.2.R369")</f>
        <v>CU0000001547.2.R369</v>
      </c>
      <c r="AC23" s="12" t="str">
        <f t="shared" si="3"/>
        <v>CU0000001547.2.R369</v>
      </c>
      <c r="AD23" s="6" t="s">
        <v>89</v>
      </c>
      <c r="AE23" s="6" t="s">
        <v>49</v>
      </c>
      <c r="AF23" s="6" t="s">
        <v>50</v>
      </c>
      <c r="AG23" s="6"/>
      <c r="AH23" s="3"/>
    </row>
    <row r="24" spans="1:34" ht="12.75">
      <c r="A24" s="10" t="s">
        <v>109</v>
      </c>
      <c r="B24" s="10" t="s">
        <v>130</v>
      </c>
      <c r="C24" s="7" t="s">
        <v>23</v>
      </c>
      <c r="D24" s="7">
        <v>36</v>
      </c>
      <c r="E24" s="6" t="s">
        <v>51</v>
      </c>
      <c r="F24" s="6" t="s">
        <v>9</v>
      </c>
      <c r="G24" s="6" t="s">
        <v>26</v>
      </c>
      <c r="H24" s="6" t="s">
        <v>24</v>
      </c>
      <c r="I24" s="7" t="s">
        <v>44</v>
      </c>
      <c r="J24" s="7">
        <v>0</v>
      </c>
      <c r="K24" s="7">
        <v>0</v>
      </c>
      <c r="L24" s="7">
        <v>85</v>
      </c>
      <c r="M24" s="7">
        <v>5</v>
      </c>
      <c r="N24" s="7">
        <v>0</v>
      </c>
      <c r="O24" s="7">
        <v>10</v>
      </c>
      <c r="P24" s="8" t="str">
        <f>HYPERLINK("abstracts\cu0000001673.rtf","CU0000001673")</f>
        <v>CU0000001673</v>
      </c>
      <c r="Q24" s="21" t="str">
        <f>HYPERLINK("/assets/documents/TissueScan/abstracts/"&amp;P24&amp;".rtf",P24)</f>
        <v>CU0000001673</v>
      </c>
      <c r="R24" s="8" t="str">
        <f>HYPERLINK("images\cu0000001673.1.4x.jpg","CU0000001673.1.4X")</f>
        <v>CU0000001673.1.4X</v>
      </c>
      <c r="S24" s="12" t="str">
        <f t="shared" si="0"/>
        <v>CU0000001673.1.4X</v>
      </c>
      <c r="T24" s="8" t="str">
        <f>HYPERLINK("images\cu0000001673.1.20x.jpg","CU0000001673.1.20X")</f>
        <v>CU0000001673.1.20X</v>
      </c>
      <c r="U24" s="12" t="str">
        <f t="shared" si="1"/>
        <v>CU0000001673.1.20X</v>
      </c>
      <c r="V24" s="6"/>
      <c r="W24" s="6"/>
      <c r="X24" s="8" t="str">
        <f>HYPERLINK("images\cu0000001673.1.b710.jpg","CU0000001673.1.B710")</f>
        <v>CU0000001673.1.B710</v>
      </c>
      <c r="Y24" s="12" t="str">
        <f t="shared" si="2"/>
        <v>CU0000001673.1.B710</v>
      </c>
      <c r="Z24" s="9">
        <v>1.440000057220459</v>
      </c>
      <c r="AA24" s="9" t="s">
        <v>22</v>
      </c>
      <c r="AB24" s="8" t="str">
        <f>HYPERLINK("images\cu0000001673.1.r369.jpg","CU0000001673.1.R369")</f>
        <v>CU0000001673.1.R369</v>
      </c>
      <c r="AC24" s="12" t="str">
        <f t="shared" si="3"/>
        <v>CU0000001673.1.R369</v>
      </c>
      <c r="AD24" s="6" t="s">
        <v>90</v>
      </c>
      <c r="AE24" s="6" t="s">
        <v>46</v>
      </c>
      <c r="AF24" s="6" t="s">
        <v>52</v>
      </c>
      <c r="AG24" s="6"/>
      <c r="AH24" s="3"/>
    </row>
    <row r="25" spans="1:34" ht="12.75">
      <c r="A25" s="10" t="s">
        <v>109</v>
      </c>
      <c r="B25" s="11" t="s">
        <v>131</v>
      </c>
      <c r="C25" s="7" t="s">
        <v>29</v>
      </c>
      <c r="D25" s="7">
        <v>66</v>
      </c>
      <c r="E25" s="6" t="s">
        <v>53</v>
      </c>
      <c r="F25" s="6" t="s">
        <v>9</v>
      </c>
      <c r="G25" s="6" t="s">
        <v>26</v>
      </c>
      <c r="H25" s="6" t="s">
        <v>24</v>
      </c>
      <c r="I25" s="7" t="s">
        <v>44</v>
      </c>
      <c r="J25" s="7">
        <v>0</v>
      </c>
      <c r="K25" s="7">
        <v>0</v>
      </c>
      <c r="L25" s="7">
        <v>98</v>
      </c>
      <c r="M25" s="7">
        <v>2</v>
      </c>
      <c r="N25" s="7">
        <v>0</v>
      </c>
      <c r="O25" s="7">
        <v>0</v>
      </c>
      <c r="P25" s="8" t="str">
        <f>HYPERLINK("abstracts\cu0000005075.rtf","CU0000005075")</f>
        <v>CU0000005075</v>
      </c>
      <c r="Q25" s="21" t="str">
        <f>HYPERLINK("/assets/documents/TissueScan/abstracts/"&amp;P25&amp;".rtf",P25)</f>
        <v>CU0000005075</v>
      </c>
      <c r="R25" s="8" t="str">
        <f>HYPERLINK("images\cu0000005075.1.4x.jpg","CU0000005075.1.4X")</f>
        <v>CU0000005075.1.4X</v>
      </c>
      <c r="S25" s="12" t="str">
        <f t="shared" si="0"/>
        <v>CU0000005075.1.4X</v>
      </c>
      <c r="T25" s="8" t="str">
        <f>HYPERLINK("images\cu0000005075.1.20x.jpg","CU0000005075.1.20X")</f>
        <v>CU0000005075.1.20X</v>
      </c>
      <c r="U25" s="12" t="str">
        <f t="shared" si="1"/>
        <v>CU0000005075.1.20X</v>
      </c>
      <c r="V25" s="6"/>
      <c r="W25" s="6"/>
      <c r="X25" s="8" t="str">
        <f>HYPERLINK("images\cu0000005075.1.b710.jpg","CU0000005075.1.B710")</f>
        <v>CU0000005075.1.B710</v>
      </c>
      <c r="Y25" s="12" t="str">
        <f t="shared" si="2"/>
        <v>CU0000005075.1.B710</v>
      </c>
      <c r="Z25" s="9">
        <v>1.9800000190734863</v>
      </c>
      <c r="AA25" s="9" t="s">
        <v>22</v>
      </c>
      <c r="AB25" s="8" t="str">
        <f>HYPERLINK("images\cu0000005075.1.r369.jpg","CU0000005075.1.R369")</f>
        <v>CU0000005075.1.R369</v>
      </c>
      <c r="AC25" s="12" t="str">
        <f t="shared" si="3"/>
        <v>CU0000005075.1.R369</v>
      </c>
      <c r="AD25" s="6" t="s">
        <v>91</v>
      </c>
      <c r="AE25" s="6" t="s">
        <v>54</v>
      </c>
      <c r="AF25" s="6" t="s">
        <v>55</v>
      </c>
      <c r="AG25" s="6"/>
      <c r="AH25" s="3"/>
    </row>
    <row r="26" spans="1:34" ht="12.75">
      <c r="A26" s="10" t="s">
        <v>109</v>
      </c>
      <c r="B26" s="10" t="s">
        <v>132</v>
      </c>
      <c r="C26" s="7" t="s">
        <v>23</v>
      </c>
      <c r="D26" s="7">
        <v>62</v>
      </c>
      <c r="E26" s="6" t="s">
        <v>42</v>
      </c>
      <c r="F26" s="6" t="s">
        <v>9</v>
      </c>
      <c r="G26" s="6" t="s">
        <v>26</v>
      </c>
      <c r="H26" s="6" t="s">
        <v>24</v>
      </c>
      <c r="I26" s="7" t="s">
        <v>44</v>
      </c>
      <c r="J26" s="7">
        <v>0</v>
      </c>
      <c r="K26" s="7">
        <v>0</v>
      </c>
      <c r="L26" s="7">
        <v>85</v>
      </c>
      <c r="M26" s="7">
        <v>5</v>
      </c>
      <c r="N26" s="7">
        <v>0</v>
      </c>
      <c r="O26" s="7">
        <v>10</v>
      </c>
      <c r="P26" s="8" t="str">
        <f>HYPERLINK("abstracts\cu0000005879.rtf","CU0000005879")</f>
        <v>CU0000005879</v>
      </c>
      <c r="Q26" s="21" t="str">
        <f>HYPERLINK("/assets/documents/TissueScan/abstracts/"&amp;P26&amp;".rtf",P26)</f>
        <v>CU0000005879</v>
      </c>
      <c r="R26" s="8" t="str">
        <f>HYPERLINK("images\cu0000005879.1.4x.jpg","CU0000005879.1.4X")</f>
        <v>CU0000005879.1.4X</v>
      </c>
      <c r="S26" s="12" t="str">
        <f t="shared" si="0"/>
        <v>CU0000005879.1.4X</v>
      </c>
      <c r="T26" s="8" t="str">
        <f>HYPERLINK("images\cu0000005879.1.20x.jpg","CU0000005879.1.20X")</f>
        <v>CU0000005879.1.20X</v>
      </c>
      <c r="U26" s="12" t="str">
        <f t="shared" si="1"/>
        <v>CU0000005879.1.20X</v>
      </c>
      <c r="V26" s="6"/>
      <c r="W26" s="6"/>
      <c r="X26" s="8" t="str">
        <f>HYPERLINK("images\cu0000005879.1.b710.jpg","CU0000005879.1.B710")</f>
        <v>CU0000005879.1.B710</v>
      </c>
      <c r="Y26" s="12" t="str">
        <f t="shared" si="2"/>
        <v>CU0000005879.1.B710</v>
      </c>
      <c r="Z26" s="9">
        <v>1.440000057220459</v>
      </c>
      <c r="AA26" s="9" t="s">
        <v>22</v>
      </c>
      <c r="AB26" s="8" t="str">
        <f>HYPERLINK("images\cu0000005879.1.r369.jpg","CU0000005879.1.R369")</f>
        <v>CU0000005879.1.R369</v>
      </c>
      <c r="AC26" s="12" t="str">
        <f t="shared" si="3"/>
        <v>CU0000005879.1.R369</v>
      </c>
      <c r="AD26" s="6" t="s">
        <v>92</v>
      </c>
      <c r="AE26" s="6" t="s">
        <v>43</v>
      </c>
      <c r="AF26" s="6" t="s">
        <v>55</v>
      </c>
      <c r="AG26" s="6"/>
      <c r="AH26" s="3"/>
    </row>
    <row r="27" spans="1:34" ht="12.75">
      <c r="A27" s="10" t="s">
        <v>109</v>
      </c>
      <c r="B27" s="10" t="s">
        <v>133</v>
      </c>
      <c r="C27" s="7" t="s">
        <v>29</v>
      </c>
      <c r="D27" s="7">
        <v>39</v>
      </c>
      <c r="E27" s="6" t="s">
        <v>56</v>
      </c>
      <c r="F27" s="6" t="s">
        <v>9</v>
      </c>
      <c r="G27" s="6" t="s">
        <v>26</v>
      </c>
      <c r="H27" s="6" t="s">
        <v>24</v>
      </c>
      <c r="I27" s="7" t="s">
        <v>44</v>
      </c>
      <c r="J27" s="7">
        <v>5</v>
      </c>
      <c r="K27" s="7">
        <v>0</v>
      </c>
      <c r="L27" s="7">
        <v>95</v>
      </c>
      <c r="M27" s="7">
        <v>0</v>
      </c>
      <c r="N27" s="7">
        <v>0</v>
      </c>
      <c r="O27" s="7">
        <v>0</v>
      </c>
      <c r="P27" s="8" t="str">
        <f>HYPERLINK("abstracts\cu0000011554.rtf","CU0000011554")</f>
        <v>CU0000011554</v>
      </c>
      <c r="Q27" s="21" t="str">
        <f>HYPERLINK("/assets/documents/TissueScan/abstracts/"&amp;P27&amp;".rtf",P27)</f>
        <v>CU0000011554</v>
      </c>
      <c r="R27" s="8" t="str">
        <f>HYPERLINK("images\cu0000011554.1.4x.jpg","CU0000011554.1.4X")</f>
        <v>CU0000011554.1.4X</v>
      </c>
      <c r="S27" s="12" t="str">
        <f t="shared" si="0"/>
        <v>CU0000011554.1.4X</v>
      </c>
      <c r="T27" s="8" t="str">
        <f>HYPERLINK("images\cu0000011554.1.20x.jpg","CU0000011554.1.20X")</f>
        <v>CU0000011554.1.20X</v>
      </c>
      <c r="U27" s="12" t="str">
        <f t="shared" si="1"/>
        <v>CU0000011554.1.20X</v>
      </c>
      <c r="V27" s="6"/>
      <c r="W27" s="6"/>
      <c r="X27" s="8" t="str">
        <f>HYPERLINK("images\cu0000011554.1.b710.jpg","CU0000011554.1.B710")</f>
        <v>CU0000011554.1.B710</v>
      </c>
      <c r="Y27" s="12" t="str">
        <f t="shared" si="2"/>
        <v>CU0000011554.1.B710</v>
      </c>
      <c r="Z27" s="9">
        <v>2.0299999713897705</v>
      </c>
      <c r="AA27" s="9" t="s">
        <v>22</v>
      </c>
      <c r="AB27" s="8" t="str">
        <f>HYPERLINK("images\cu0000011554.1.r369.jpg","CU0000011554.1.R369")</f>
        <v>CU0000011554.1.R369</v>
      </c>
      <c r="AC27" s="12" t="str">
        <f t="shared" si="3"/>
        <v>CU0000011554.1.R369</v>
      </c>
      <c r="AD27" s="6" t="s">
        <v>93</v>
      </c>
      <c r="AE27" s="6" t="s">
        <v>46</v>
      </c>
      <c r="AF27" s="6"/>
      <c r="AG27" s="6"/>
      <c r="AH27" s="3"/>
    </row>
    <row r="28" spans="1:34" ht="12.75">
      <c r="A28" s="10" t="s">
        <v>109</v>
      </c>
      <c r="B28" s="10" t="s">
        <v>134</v>
      </c>
      <c r="C28" s="7" t="s">
        <v>29</v>
      </c>
      <c r="D28" s="7">
        <v>61</v>
      </c>
      <c r="E28" s="6" t="s">
        <v>57</v>
      </c>
      <c r="F28" s="6" t="s">
        <v>9</v>
      </c>
      <c r="G28" s="6" t="s">
        <v>26</v>
      </c>
      <c r="H28" s="6" t="s">
        <v>24</v>
      </c>
      <c r="I28" s="7" t="s">
        <v>44</v>
      </c>
      <c r="J28" s="7">
        <v>0</v>
      </c>
      <c r="K28" s="7">
        <v>0</v>
      </c>
      <c r="L28" s="7">
        <v>70</v>
      </c>
      <c r="M28" s="7">
        <v>30</v>
      </c>
      <c r="N28" s="7">
        <v>0</v>
      </c>
      <c r="O28" s="7">
        <v>0</v>
      </c>
      <c r="P28" s="8" t="str">
        <f>HYPERLINK("abstracts\cu0000011729.rtf","CU0000011729")</f>
        <v>CU0000011729</v>
      </c>
      <c r="Q28" s="21" t="str">
        <f>HYPERLINK("/assets/documents/TissueScan/abstracts/"&amp;P28&amp;".rtf",P28)</f>
        <v>CU0000011729</v>
      </c>
      <c r="R28" s="8" t="str">
        <f>HYPERLINK("images\cu0000011729.1.4x.jpg","CU0000011729.1.4X")</f>
        <v>CU0000011729.1.4X</v>
      </c>
      <c r="S28" s="12" t="str">
        <f t="shared" si="0"/>
        <v>CU0000011729.1.4X</v>
      </c>
      <c r="T28" s="8" t="str">
        <f>HYPERLINK("images\cu0000011729.1.20x.jpg","CU0000011729.1.20X")</f>
        <v>CU0000011729.1.20X</v>
      </c>
      <c r="U28" s="12" t="str">
        <f t="shared" si="1"/>
        <v>CU0000011729.1.20X</v>
      </c>
      <c r="V28" s="6"/>
      <c r="W28" s="6"/>
      <c r="X28" s="8" t="str">
        <f>HYPERLINK("images\cu0000011729.1.b710.jpg","CU0000011729.1.B710")</f>
        <v>CU0000011729.1.B710</v>
      </c>
      <c r="Y28" s="12" t="str">
        <f t="shared" si="2"/>
        <v>CU0000011729.1.B710</v>
      </c>
      <c r="Z28" s="9">
        <v>1.6100000143051147</v>
      </c>
      <c r="AA28" s="9" t="s">
        <v>22</v>
      </c>
      <c r="AB28" s="8" t="str">
        <f>HYPERLINK("images\cu0000011729.1.r369.jpg","CU0000011729.1.R369")</f>
        <v>CU0000011729.1.R369</v>
      </c>
      <c r="AC28" s="12" t="str">
        <f t="shared" si="3"/>
        <v>CU0000011729.1.R369</v>
      </c>
      <c r="AD28" s="6" t="s">
        <v>94</v>
      </c>
      <c r="AE28" s="6" t="s">
        <v>54</v>
      </c>
      <c r="AF28" s="6"/>
      <c r="AG28" s="6"/>
      <c r="AH28" s="3"/>
    </row>
    <row r="29" spans="1:34" ht="12.75">
      <c r="A29" s="10" t="s">
        <v>109</v>
      </c>
      <c r="B29" s="10" t="s">
        <v>135</v>
      </c>
      <c r="C29" s="7" t="s">
        <v>23</v>
      </c>
      <c r="D29" s="7">
        <v>42</v>
      </c>
      <c r="E29" s="6" t="s">
        <v>58</v>
      </c>
      <c r="F29" s="6" t="s">
        <v>9</v>
      </c>
      <c r="G29" s="6" t="s">
        <v>26</v>
      </c>
      <c r="H29" s="6" t="s">
        <v>24</v>
      </c>
      <c r="I29" s="7" t="s">
        <v>44</v>
      </c>
      <c r="J29" s="7">
        <v>10</v>
      </c>
      <c r="K29" s="7">
        <v>0</v>
      </c>
      <c r="L29" s="7">
        <v>85</v>
      </c>
      <c r="M29" s="7">
        <v>0</v>
      </c>
      <c r="N29" s="7">
        <v>5</v>
      </c>
      <c r="O29" s="7">
        <v>0</v>
      </c>
      <c r="P29" s="8" t="str">
        <f>HYPERLINK("abstracts\cu0000012228.rtf","CU0000012228")</f>
        <v>CU0000012228</v>
      </c>
      <c r="Q29" s="21" t="str">
        <f>HYPERLINK("/assets/documents/TissueScan/abstracts/"&amp;P29&amp;".rtf",P29)</f>
        <v>CU0000012228</v>
      </c>
      <c r="R29" s="8" t="str">
        <f>HYPERLINK("images\cu0000012228.1.4x.jpg","CU0000012228.1.4X")</f>
        <v>CU0000012228.1.4X</v>
      </c>
      <c r="S29" s="12" t="str">
        <f t="shared" si="0"/>
        <v>CU0000012228.1.4X</v>
      </c>
      <c r="T29" s="8" t="str">
        <f>HYPERLINK("images\cu0000012228.1.20x.jpg","CU0000012228.1.20X")</f>
        <v>CU0000012228.1.20X</v>
      </c>
      <c r="U29" s="12" t="str">
        <f t="shared" si="1"/>
        <v>CU0000012228.1.20X</v>
      </c>
      <c r="V29" s="6"/>
      <c r="W29" s="6"/>
      <c r="X29" s="8" t="str">
        <f>HYPERLINK("images\cu0000012228.1.b710.jpg","CU0000012228.1.B710")</f>
        <v>CU0000012228.1.B710</v>
      </c>
      <c r="Y29" s="12" t="str">
        <f t="shared" si="2"/>
        <v>CU0000012228.1.B710</v>
      </c>
      <c r="Z29" s="9">
        <v>1.690000057220459</v>
      </c>
      <c r="AA29" s="9" t="s">
        <v>22</v>
      </c>
      <c r="AB29" s="8" t="str">
        <f>HYPERLINK("images\cu0000012228.1.r369.jpg","CU0000012228.1.R369")</f>
        <v>CU0000012228.1.R369</v>
      </c>
      <c r="AC29" s="12" t="str">
        <f t="shared" si="3"/>
        <v>CU0000012228.1.R369</v>
      </c>
      <c r="AD29" s="6" t="s">
        <v>95</v>
      </c>
      <c r="AE29" s="6" t="s">
        <v>49</v>
      </c>
      <c r="AF29" s="6" t="s">
        <v>59</v>
      </c>
      <c r="AG29" s="6"/>
      <c r="AH29" s="3"/>
    </row>
    <row r="30" spans="1:34" ht="12.75">
      <c r="A30" s="10" t="s">
        <v>109</v>
      </c>
      <c r="B30" s="10" t="s">
        <v>136</v>
      </c>
      <c r="C30" s="7" t="s">
        <v>29</v>
      </c>
      <c r="D30" s="7">
        <v>50</v>
      </c>
      <c r="E30" s="6" t="s">
        <v>60</v>
      </c>
      <c r="F30" s="6" t="s">
        <v>9</v>
      </c>
      <c r="G30" s="6" t="s">
        <v>26</v>
      </c>
      <c r="H30" s="6" t="s">
        <v>24</v>
      </c>
      <c r="I30" s="7" t="s">
        <v>44</v>
      </c>
      <c r="J30" s="7">
        <v>0</v>
      </c>
      <c r="K30" s="7">
        <v>0</v>
      </c>
      <c r="L30" s="7">
        <v>80</v>
      </c>
      <c r="M30" s="7">
        <v>10</v>
      </c>
      <c r="N30" s="7">
        <v>0</v>
      </c>
      <c r="O30" s="7">
        <v>10</v>
      </c>
      <c r="P30" s="8" t="str">
        <f>HYPERLINK("abstracts\cu0000014651.rtf","CU0000014651")</f>
        <v>CU0000014651</v>
      </c>
      <c r="Q30" s="21" t="str">
        <f>HYPERLINK("/assets/documents/TissueScan/abstracts/"&amp;P30&amp;".rtf",P30)</f>
        <v>CU0000014651</v>
      </c>
      <c r="R30" s="8" t="str">
        <f>HYPERLINK("images\cu0000014651.1.4x.jpg","CU0000014651.1.4X")</f>
        <v>CU0000014651.1.4X</v>
      </c>
      <c r="S30" s="12" t="str">
        <f t="shared" si="0"/>
        <v>CU0000014651.1.4X</v>
      </c>
      <c r="T30" s="8" t="str">
        <f>HYPERLINK("images\cu0000014651.1.20x.jpg","CU0000014651.1.20X")</f>
        <v>CU0000014651.1.20X</v>
      </c>
      <c r="U30" s="12" t="str">
        <f t="shared" si="1"/>
        <v>CU0000014651.1.20X</v>
      </c>
      <c r="V30" s="6"/>
      <c r="W30" s="6"/>
      <c r="X30" s="8" t="str">
        <f>HYPERLINK("images\cu0000014651.1.b710.jpg","CU0000014651.1.B710")</f>
        <v>CU0000014651.1.B710</v>
      </c>
      <c r="Y30" s="12" t="str">
        <f t="shared" si="2"/>
        <v>CU0000014651.1.B710</v>
      </c>
      <c r="Z30" s="9">
        <v>1.6299999952316284</v>
      </c>
      <c r="AA30" s="9" t="s">
        <v>22</v>
      </c>
      <c r="AB30" s="8" t="str">
        <f>HYPERLINK("images\cu0000014651.1.r369.jpg","CU0000014651.1.R369")</f>
        <v>CU0000014651.1.R369</v>
      </c>
      <c r="AC30" s="12" t="str">
        <f t="shared" si="3"/>
        <v>CU0000014651.1.R369</v>
      </c>
      <c r="AD30" s="6" t="s">
        <v>96</v>
      </c>
      <c r="AE30" s="6" t="s">
        <v>46</v>
      </c>
      <c r="AF30" s="6"/>
      <c r="AG30" s="6"/>
      <c r="AH30" s="3"/>
    </row>
    <row r="31" spans="1:34" ht="12.75">
      <c r="A31" s="10" t="s">
        <v>109</v>
      </c>
      <c r="B31" s="10" t="s">
        <v>137</v>
      </c>
      <c r="C31" s="7" t="s">
        <v>23</v>
      </c>
      <c r="D31" s="7">
        <v>77</v>
      </c>
      <c r="E31" s="6" t="s">
        <v>61</v>
      </c>
      <c r="F31" s="6" t="s">
        <v>9</v>
      </c>
      <c r="G31" s="6" t="s">
        <v>26</v>
      </c>
      <c r="H31" s="6" t="s">
        <v>24</v>
      </c>
      <c r="I31" s="7" t="s">
        <v>44</v>
      </c>
      <c r="J31" s="7">
        <v>0</v>
      </c>
      <c r="K31" s="7">
        <v>0</v>
      </c>
      <c r="L31" s="7">
        <v>70</v>
      </c>
      <c r="M31" s="7">
        <v>0</v>
      </c>
      <c r="N31" s="7">
        <v>25</v>
      </c>
      <c r="O31" s="7">
        <v>5</v>
      </c>
      <c r="P31" s="8" t="str">
        <f>HYPERLINK("abstracts\ci0000000047.rtf","CI0000000047")</f>
        <v>CI0000000047</v>
      </c>
      <c r="Q31" s="21" t="str">
        <f>HYPERLINK("/assets/documents/TissueScan/abstracts/"&amp;P31&amp;".rtf",P31)</f>
        <v>CI0000000047</v>
      </c>
      <c r="R31" s="8" t="str">
        <f>HYPERLINK("images\ci0000000047.1.4x.jpg","CI0000000047.1.4X")</f>
        <v>CI0000000047.1.4X</v>
      </c>
      <c r="S31" s="12" t="str">
        <f t="shared" si="0"/>
        <v>CI0000000047.1.4X</v>
      </c>
      <c r="T31" s="8" t="str">
        <f>HYPERLINK("images\ci0000000047.1.20x.jpg","CI0000000047.1.20X")</f>
        <v>CI0000000047.1.20X</v>
      </c>
      <c r="U31" s="12" t="str">
        <f t="shared" si="1"/>
        <v>CI0000000047.1.20X</v>
      </c>
      <c r="V31" s="6"/>
      <c r="W31" s="6"/>
      <c r="X31" s="8" t="str">
        <f>HYPERLINK("images\ci0000000047.1.b710.jpg","CI0000000047.1.B710")</f>
        <v>CI0000000047.1.B710</v>
      </c>
      <c r="Y31" s="12" t="str">
        <f t="shared" si="2"/>
        <v>CI0000000047.1.B710</v>
      </c>
      <c r="Z31" s="9">
        <v>1.7300000190734863</v>
      </c>
      <c r="AA31" s="9" t="s">
        <v>22</v>
      </c>
      <c r="AB31" s="8" t="str">
        <f>HYPERLINK("images\ci0000000047.1.r369.jpg","CI0000000047.1.R369")</f>
        <v>CI0000000047.1.R369</v>
      </c>
      <c r="AC31" s="12" t="str">
        <f t="shared" si="3"/>
        <v>CI0000000047.1.R369</v>
      </c>
      <c r="AD31" s="6" t="s">
        <v>97</v>
      </c>
      <c r="AE31" s="6" t="s">
        <v>43</v>
      </c>
      <c r="AF31" s="6"/>
      <c r="AG31" s="6"/>
      <c r="AH31" s="3"/>
    </row>
    <row r="32" spans="1:34" ht="12.75">
      <c r="A32" s="10" t="s">
        <v>109</v>
      </c>
      <c r="B32" s="10" t="s">
        <v>138</v>
      </c>
      <c r="C32" s="7" t="s">
        <v>29</v>
      </c>
      <c r="D32" s="7">
        <v>42</v>
      </c>
      <c r="E32" s="6" t="s">
        <v>57</v>
      </c>
      <c r="F32" s="6" t="s">
        <v>9</v>
      </c>
      <c r="G32" s="6" t="s">
        <v>26</v>
      </c>
      <c r="H32" s="6" t="s">
        <v>24</v>
      </c>
      <c r="I32" s="7" t="s">
        <v>44</v>
      </c>
      <c r="J32" s="7">
        <v>0</v>
      </c>
      <c r="K32" s="7">
        <v>0</v>
      </c>
      <c r="L32" s="7">
        <v>95</v>
      </c>
      <c r="M32" s="7">
        <v>5</v>
      </c>
      <c r="N32" s="7">
        <v>0</v>
      </c>
      <c r="O32" s="7">
        <v>0</v>
      </c>
      <c r="P32" s="8" t="str">
        <f>HYPERLINK("abstracts\ci0000000096.rtf","CI0000000096")</f>
        <v>CI0000000096</v>
      </c>
      <c r="Q32" s="21" t="str">
        <f>HYPERLINK("/assets/documents/TissueScan/abstracts/"&amp;P32&amp;".rtf",P32)</f>
        <v>CI0000000096</v>
      </c>
      <c r="R32" s="8" t="str">
        <f>HYPERLINK("images\ci0000000096.2.4x.jpg","CI0000000096.2.4X")</f>
        <v>CI0000000096.2.4X</v>
      </c>
      <c r="S32" s="12" t="str">
        <f t="shared" si="0"/>
        <v>CI0000000096.2.4X</v>
      </c>
      <c r="T32" s="8" t="str">
        <f>HYPERLINK("images\ci0000000096.2.20x.jpg","CI0000000096.2.20X")</f>
        <v>CI0000000096.2.20X</v>
      </c>
      <c r="U32" s="12" t="str">
        <f t="shared" si="1"/>
        <v>CI0000000096.2.20X</v>
      </c>
      <c r="V32" s="6"/>
      <c r="W32" s="6"/>
      <c r="X32" s="8" t="str">
        <f>HYPERLINK("images\ci0000000096.2.b710.jpg","CI0000000096.2.B710")</f>
        <v>CI0000000096.2.B710</v>
      </c>
      <c r="Y32" s="12" t="str">
        <f t="shared" si="2"/>
        <v>CI0000000096.2.B710</v>
      </c>
      <c r="Z32" s="9">
        <v>2</v>
      </c>
      <c r="AA32" s="9" t="s">
        <v>22</v>
      </c>
      <c r="AB32" s="8" t="str">
        <f>HYPERLINK("images\ci0000000096.2.r369.jpg","CI0000000096.2.R369")</f>
        <v>CI0000000096.2.R369</v>
      </c>
      <c r="AC32" s="12" t="str">
        <f t="shared" si="3"/>
        <v>CI0000000096.2.R369</v>
      </c>
      <c r="AD32" s="6" t="s">
        <v>98</v>
      </c>
      <c r="AE32" s="6" t="s">
        <v>49</v>
      </c>
      <c r="AF32" s="6" t="s">
        <v>62</v>
      </c>
      <c r="AG32" s="6"/>
      <c r="AH32" s="3"/>
    </row>
    <row r="33" spans="1:34" ht="12.75">
      <c r="A33" s="10" t="s">
        <v>109</v>
      </c>
      <c r="B33" s="10" t="s">
        <v>139</v>
      </c>
      <c r="C33" s="7" t="s">
        <v>23</v>
      </c>
      <c r="D33" s="7">
        <v>55</v>
      </c>
      <c r="E33" s="6" t="s">
        <v>25</v>
      </c>
      <c r="F33" s="6" t="s">
        <v>9</v>
      </c>
      <c r="G33" s="6" t="s">
        <v>26</v>
      </c>
      <c r="H33" s="6" t="s">
        <v>24</v>
      </c>
      <c r="I33" s="7" t="s">
        <v>44</v>
      </c>
      <c r="J33" s="7">
        <v>0</v>
      </c>
      <c r="K33" s="7">
        <v>0</v>
      </c>
      <c r="L33" s="7">
        <v>80</v>
      </c>
      <c r="M33" s="7">
        <v>20</v>
      </c>
      <c r="N33" s="7">
        <v>0</v>
      </c>
      <c r="O33" s="7">
        <v>0</v>
      </c>
      <c r="P33" s="8" t="str">
        <f>HYPERLINK("abstracts\ci0000010117.rtf","CI0000010117")</f>
        <v>CI0000010117</v>
      </c>
      <c r="Q33" s="21" t="str">
        <f>HYPERLINK("/assets/documents/TissueScan/abstracts/"&amp;P33&amp;".rtf",P33)</f>
        <v>CI0000010117</v>
      </c>
      <c r="R33" s="8" t="str">
        <f>HYPERLINK("images\ci0000010117.1.4x.jpg","CI0000010117.1.4X")</f>
        <v>CI0000010117.1.4X</v>
      </c>
      <c r="S33" s="12" t="str">
        <f t="shared" si="0"/>
        <v>CI0000010117.1.4X</v>
      </c>
      <c r="T33" s="8" t="str">
        <f>HYPERLINK("images\ci0000010117.1.20x.jpg","CI0000010117.1.20X")</f>
        <v>CI0000010117.1.20X</v>
      </c>
      <c r="U33" s="12" t="str">
        <f t="shared" si="1"/>
        <v>CI0000010117.1.20X</v>
      </c>
      <c r="V33" s="6"/>
      <c r="W33" s="6"/>
      <c r="X33" s="8" t="str">
        <f>HYPERLINK("images\ci0000010117.1.b710.jpg","CI0000010117.1.B710")</f>
        <v>CI0000010117.1.B710</v>
      </c>
      <c r="Y33" s="12" t="str">
        <f t="shared" si="2"/>
        <v>CI0000010117.1.B710</v>
      </c>
      <c r="Z33" s="9">
        <v>1.399999976158142</v>
      </c>
      <c r="AA33" s="9" t="s">
        <v>22</v>
      </c>
      <c r="AB33" s="8" t="str">
        <f>HYPERLINK("images\ci0000010117.1.r369.jpg","CI0000010117.1.R369")</f>
        <v>CI0000010117.1.R369</v>
      </c>
      <c r="AC33" s="12" t="str">
        <f t="shared" si="3"/>
        <v>CI0000010117.1.R369</v>
      </c>
      <c r="AD33" s="6" t="s">
        <v>99</v>
      </c>
      <c r="AE33" s="6" t="s">
        <v>49</v>
      </c>
      <c r="AF33" s="6"/>
      <c r="AG33" s="6"/>
      <c r="AH33" s="3"/>
    </row>
    <row r="34" spans="1:34" ht="12.75">
      <c r="A34" s="10" t="s">
        <v>109</v>
      </c>
      <c r="B34" s="10" t="s">
        <v>140</v>
      </c>
      <c r="C34" s="7" t="s">
        <v>23</v>
      </c>
      <c r="D34" s="7">
        <v>37</v>
      </c>
      <c r="E34" s="6" t="s">
        <v>63</v>
      </c>
      <c r="F34" s="6" t="s">
        <v>9</v>
      </c>
      <c r="G34" s="6" t="s">
        <v>26</v>
      </c>
      <c r="H34" s="6" t="s">
        <v>24</v>
      </c>
      <c r="I34" s="7" t="s">
        <v>44</v>
      </c>
      <c r="J34" s="7">
        <v>0</v>
      </c>
      <c r="K34" s="7">
        <v>0</v>
      </c>
      <c r="L34" s="7">
        <v>70</v>
      </c>
      <c r="M34" s="7">
        <v>30</v>
      </c>
      <c r="N34" s="7">
        <v>0</v>
      </c>
      <c r="O34" s="7">
        <v>0</v>
      </c>
      <c r="P34" s="8" t="str">
        <f>HYPERLINK("abstracts\ci0000019100.rtf","CI0000019100")</f>
        <v>CI0000019100</v>
      </c>
      <c r="Q34" s="21" t="str">
        <f>HYPERLINK("/assets/documents/TissueScan/abstracts/"&amp;P34&amp;".rtf",P34)</f>
        <v>CI0000019100</v>
      </c>
      <c r="R34" s="8" t="str">
        <f>HYPERLINK("images\ci0000019100.1.4x.jpg","CI0000019100.1.4X")</f>
        <v>CI0000019100.1.4X</v>
      </c>
      <c r="S34" s="12" t="str">
        <f t="shared" si="0"/>
        <v>CI0000019100.1.4X</v>
      </c>
      <c r="T34" s="8" t="str">
        <f>HYPERLINK("images\ci0000019100.1.20x.jpg","CI0000019100.1.20X")</f>
        <v>CI0000019100.1.20X</v>
      </c>
      <c r="U34" s="12" t="str">
        <f t="shared" si="1"/>
        <v>CI0000019100.1.20X</v>
      </c>
      <c r="V34" s="6"/>
      <c r="W34" s="6"/>
      <c r="X34" s="8" t="str">
        <f>HYPERLINK("images\ci0000019100.1.b710.jpg","CI0000019100.1.B710")</f>
        <v>CI0000019100.1.B710</v>
      </c>
      <c r="Y34" s="12" t="str">
        <f t="shared" si="2"/>
        <v>CI0000019100.1.B710</v>
      </c>
      <c r="Z34" s="9">
        <v>1.9600000381469727</v>
      </c>
      <c r="AA34" s="9" t="s">
        <v>22</v>
      </c>
      <c r="AB34" s="8" t="str">
        <f>HYPERLINK("images\ci0000019100.1.r369.jpg","CI0000019100.1.R369")</f>
        <v>CI0000019100.1.R369</v>
      </c>
      <c r="AC34" s="12" t="str">
        <f t="shared" si="3"/>
        <v>CI0000019100.1.R369</v>
      </c>
      <c r="AD34" s="6" t="s">
        <v>100</v>
      </c>
      <c r="AE34" s="6" t="s">
        <v>54</v>
      </c>
      <c r="AF34" s="6"/>
      <c r="AG34" s="6"/>
      <c r="AH34" s="3"/>
    </row>
    <row r="35" spans="1:34" ht="12.75">
      <c r="A35" s="10" t="s">
        <v>109</v>
      </c>
      <c r="B35" s="10" t="s">
        <v>141</v>
      </c>
      <c r="C35" s="7" t="s">
        <v>23</v>
      </c>
      <c r="D35" s="7">
        <v>57</v>
      </c>
      <c r="E35" s="6" t="s">
        <v>42</v>
      </c>
      <c r="F35" s="6" t="s">
        <v>9</v>
      </c>
      <c r="G35" s="6" t="s">
        <v>26</v>
      </c>
      <c r="H35" s="6" t="s">
        <v>24</v>
      </c>
      <c r="I35" s="7" t="s">
        <v>44</v>
      </c>
      <c r="J35" s="7">
        <v>25</v>
      </c>
      <c r="K35" s="7">
        <v>0</v>
      </c>
      <c r="L35" s="7">
        <v>70</v>
      </c>
      <c r="M35" s="7">
        <v>0</v>
      </c>
      <c r="N35" s="7">
        <v>5</v>
      </c>
      <c r="O35" s="7">
        <v>0</v>
      </c>
      <c r="P35" s="8" t="str">
        <f>HYPERLINK("abstracts\ci0000019842.rtf","CI0000019842")</f>
        <v>CI0000019842</v>
      </c>
      <c r="Q35" s="21" t="str">
        <f>HYPERLINK("/assets/documents/TissueScan/abstracts/"&amp;P35&amp;".rtf",P35)</f>
        <v>CI0000019842</v>
      </c>
      <c r="R35" s="8" t="str">
        <f>HYPERLINK("images\ci0000019842.1.4x.jpg","CI0000019842.1.4X")</f>
        <v>CI0000019842.1.4X</v>
      </c>
      <c r="S35" s="12" t="str">
        <f t="shared" si="0"/>
        <v>CI0000019842.1.4X</v>
      </c>
      <c r="T35" s="8" t="str">
        <f>HYPERLINK("images\ci0000019842.1.20x.jpg","CI0000019842.1.20X")</f>
        <v>CI0000019842.1.20X</v>
      </c>
      <c r="U35" s="12" t="str">
        <f t="shared" si="1"/>
        <v>CI0000019842.1.20X</v>
      </c>
      <c r="V35" s="6"/>
      <c r="W35" s="6"/>
      <c r="X35" s="8" t="str">
        <f>HYPERLINK("images\ci0000019842.1.b710.jpg","CI0000019842.1.B710")</f>
        <v>CI0000019842.1.B710</v>
      </c>
      <c r="Y35" s="12" t="str">
        <f t="shared" si="2"/>
        <v>CI0000019842.1.B710</v>
      </c>
      <c r="Z35" s="9">
        <v>1.7899999618530273</v>
      </c>
      <c r="AA35" s="9" t="s">
        <v>22</v>
      </c>
      <c r="AB35" s="8" t="str">
        <f>HYPERLINK("images\ci0000019842.1.r369.jpg","CI0000019842.1.R369")</f>
        <v>CI0000019842.1.R369</v>
      </c>
      <c r="AC35" s="12" t="str">
        <f t="shared" si="3"/>
        <v>CI0000019842.1.R369</v>
      </c>
      <c r="AD35" s="6" t="s">
        <v>101</v>
      </c>
      <c r="AE35" s="6" t="s">
        <v>64</v>
      </c>
      <c r="AF35" s="6" t="s">
        <v>65</v>
      </c>
      <c r="AG35" s="6"/>
      <c r="AH35" s="3"/>
    </row>
    <row r="36" spans="1:34" ht="12.75">
      <c r="A36" s="10" t="s">
        <v>109</v>
      </c>
      <c r="B36" s="10" t="s">
        <v>142</v>
      </c>
      <c r="C36" s="7" t="s">
        <v>29</v>
      </c>
      <c r="D36" s="7">
        <v>64</v>
      </c>
      <c r="E36" s="6" t="s">
        <v>42</v>
      </c>
      <c r="F36" s="6" t="s">
        <v>9</v>
      </c>
      <c r="G36" s="6" t="s">
        <v>26</v>
      </c>
      <c r="H36" s="6" t="s">
        <v>24</v>
      </c>
      <c r="I36" s="7" t="s">
        <v>44</v>
      </c>
      <c r="J36" s="7">
        <v>0</v>
      </c>
      <c r="K36" s="7">
        <v>0</v>
      </c>
      <c r="L36" s="7">
        <v>95</v>
      </c>
      <c r="M36" s="7">
        <v>0</v>
      </c>
      <c r="N36" s="7">
        <v>0</v>
      </c>
      <c r="O36" s="7">
        <v>5</v>
      </c>
      <c r="P36" s="8" t="str">
        <f>HYPERLINK("abstracts\ci0000019897.rtf","CI0000019897")</f>
        <v>CI0000019897</v>
      </c>
      <c r="Q36" s="21" t="str">
        <f>HYPERLINK("/assets/documents/TissueScan/abstracts/"&amp;P36&amp;".rtf",P36)</f>
        <v>CI0000019897</v>
      </c>
      <c r="R36" s="8" t="str">
        <f>HYPERLINK("images\ci0000019897.1.4x.jpg","CI0000019897.1.4X")</f>
        <v>CI0000019897.1.4X</v>
      </c>
      <c r="S36" s="12" t="str">
        <f t="shared" si="0"/>
        <v>CI0000019897.1.4X</v>
      </c>
      <c r="T36" s="8" t="str">
        <f>HYPERLINK("images\ci0000019897.1.20x.jpg","CI0000019897.1.20X")</f>
        <v>CI0000019897.1.20X</v>
      </c>
      <c r="U36" s="12" t="str">
        <f t="shared" si="1"/>
        <v>CI0000019897.1.20X</v>
      </c>
      <c r="V36" s="6"/>
      <c r="W36" s="6"/>
      <c r="X36" s="8" t="str">
        <f>HYPERLINK("images\ci0000019897.1.b710.jpg","CI0000019897.1.B710")</f>
        <v>CI0000019897.1.B710</v>
      </c>
      <c r="Y36" s="12" t="str">
        <f t="shared" si="2"/>
        <v>CI0000019897.1.B710</v>
      </c>
      <c r="Z36" s="9">
        <v>1.6699999570846558</v>
      </c>
      <c r="AA36" s="9" t="s">
        <v>22</v>
      </c>
      <c r="AB36" s="8" t="str">
        <f>HYPERLINK("images\ci0000019897.1.r369.jpg","CI0000019897.1.R369")</f>
        <v>CI0000019897.1.R369</v>
      </c>
      <c r="AC36" s="12" t="str">
        <f t="shared" si="3"/>
        <v>CI0000019897.1.R369</v>
      </c>
      <c r="AD36" s="6" t="s">
        <v>102</v>
      </c>
      <c r="AE36" s="6" t="s">
        <v>66</v>
      </c>
      <c r="AF36" s="6"/>
      <c r="AG36" s="6"/>
      <c r="AH36" s="3"/>
    </row>
    <row r="37" spans="1:34" ht="12.75">
      <c r="A37" s="10" t="s">
        <v>109</v>
      </c>
      <c r="B37" s="10" t="s">
        <v>143</v>
      </c>
      <c r="C37" s="7" t="s">
        <v>23</v>
      </c>
      <c r="D37" s="7">
        <v>60</v>
      </c>
      <c r="E37" s="6" t="s">
        <v>67</v>
      </c>
      <c r="F37" s="6" t="s">
        <v>9</v>
      </c>
      <c r="G37" s="6" t="s">
        <v>26</v>
      </c>
      <c r="H37" s="6" t="s">
        <v>24</v>
      </c>
      <c r="I37" s="7" t="s">
        <v>44</v>
      </c>
      <c r="J37" s="7">
        <v>5</v>
      </c>
      <c r="K37" s="7">
        <v>0</v>
      </c>
      <c r="L37" s="7">
        <v>85</v>
      </c>
      <c r="M37" s="7">
        <v>0</v>
      </c>
      <c r="N37" s="7">
        <v>10</v>
      </c>
      <c r="O37" s="7">
        <v>0</v>
      </c>
      <c r="P37" s="8" t="str">
        <f>HYPERLINK("abstracts\ci0000020949.rtf","CI0000020949")</f>
        <v>CI0000020949</v>
      </c>
      <c r="Q37" s="21" t="str">
        <f>HYPERLINK("/assets/documents/TissueScan/abstracts/"&amp;P37&amp;".rtf",P37)</f>
        <v>CI0000020949</v>
      </c>
      <c r="R37" s="8" t="str">
        <f>HYPERLINK("images\ci0000020949.1.4x.jpg","CI0000020949.1.4X")</f>
        <v>CI0000020949.1.4X</v>
      </c>
      <c r="S37" s="12" t="str">
        <f t="shared" si="0"/>
        <v>CI0000020949.1.4X</v>
      </c>
      <c r="T37" s="8" t="str">
        <f>HYPERLINK("images\ci0000020949.1.20x.jpg","CI0000020949.1.20X")</f>
        <v>CI0000020949.1.20X</v>
      </c>
      <c r="U37" s="12" t="str">
        <f t="shared" si="1"/>
        <v>CI0000020949.1.20X</v>
      </c>
      <c r="V37" s="6"/>
      <c r="W37" s="6"/>
      <c r="X37" s="8" t="str">
        <f>HYPERLINK("images\ci0000020949.1.b710.jpg","CI0000020949.1.B710")</f>
        <v>CI0000020949.1.B710</v>
      </c>
      <c r="Y37" s="12" t="str">
        <f t="shared" si="2"/>
        <v>CI0000020949.1.B710</v>
      </c>
      <c r="Z37" s="9">
        <v>1.7200000286102295</v>
      </c>
      <c r="AA37" s="9" t="s">
        <v>22</v>
      </c>
      <c r="AB37" s="8" t="str">
        <f>HYPERLINK("images\ci0000020949.1.r369.jpg","CI0000020949.1.R369")</f>
        <v>CI0000020949.1.R369</v>
      </c>
      <c r="AC37" s="12" t="str">
        <f t="shared" si="3"/>
        <v>CI0000020949.1.R369</v>
      </c>
      <c r="AD37" s="6" t="s">
        <v>103</v>
      </c>
      <c r="AE37" s="6" t="s">
        <v>54</v>
      </c>
      <c r="AF37" s="6"/>
      <c r="AG37" s="6"/>
      <c r="AH37" s="3"/>
    </row>
    <row r="38" spans="1:34" ht="12.75">
      <c r="A38" s="10" t="s">
        <v>109</v>
      </c>
      <c r="B38" s="10" t="s">
        <v>144</v>
      </c>
      <c r="C38" s="7" t="s">
        <v>29</v>
      </c>
      <c r="D38" s="7">
        <v>54</v>
      </c>
      <c r="E38" s="6" t="s">
        <v>42</v>
      </c>
      <c r="F38" s="6" t="s">
        <v>9</v>
      </c>
      <c r="G38" s="6" t="s">
        <v>26</v>
      </c>
      <c r="H38" s="6" t="s">
        <v>24</v>
      </c>
      <c r="I38" s="7" t="s">
        <v>44</v>
      </c>
      <c r="J38" s="7">
        <v>0</v>
      </c>
      <c r="K38" s="7">
        <v>0</v>
      </c>
      <c r="L38" s="7">
        <v>80</v>
      </c>
      <c r="M38" s="7">
        <v>10</v>
      </c>
      <c r="N38" s="7">
        <v>0</v>
      </c>
      <c r="O38" s="7">
        <v>10</v>
      </c>
      <c r="P38" s="8" t="str">
        <f>HYPERLINK("abstracts\ci7000000492.rtf","CI7000000492")</f>
        <v>CI7000000492</v>
      </c>
      <c r="Q38" s="21" t="str">
        <f>HYPERLINK("/assets/documents/TissueScan/abstracts/"&amp;P38&amp;".rtf",P38)</f>
        <v>CI7000000492</v>
      </c>
      <c r="R38" s="8" t="str">
        <f>HYPERLINK("images\ci7000000492.1.4x.jpg","CI7000000492.1.4X")</f>
        <v>CI7000000492.1.4X</v>
      </c>
      <c r="S38" s="12" t="str">
        <f t="shared" si="0"/>
        <v>CI7000000492.1.4X</v>
      </c>
      <c r="T38" s="8" t="str">
        <f>HYPERLINK("images\ci7000000492.1.20x.jpg","CI7000000492.1.20X")</f>
        <v>CI7000000492.1.20X</v>
      </c>
      <c r="U38" s="12" t="str">
        <f t="shared" si="1"/>
        <v>CI7000000492.1.20X</v>
      </c>
      <c r="V38" s="6"/>
      <c r="W38" s="6"/>
      <c r="X38" s="8" t="str">
        <f>HYPERLINK("images\ci7000000492.1.b710.jpg","CI7000000492.1.B710")</f>
        <v>CI7000000492.1.B710</v>
      </c>
      <c r="Y38" s="12" t="str">
        <f t="shared" si="2"/>
        <v>CI7000000492.1.B710</v>
      </c>
      <c r="Z38" s="9">
        <v>1.559999942779541</v>
      </c>
      <c r="AA38" s="9" t="s">
        <v>22</v>
      </c>
      <c r="AB38" s="8" t="str">
        <f>HYPERLINK("images\ci7000000492.1.r369.jpg","CI7000000492.1.R369")</f>
        <v>CI7000000492.1.R369</v>
      </c>
      <c r="AC38" s="12" t="str">
        <f t="shared" si="3"/>
        <v>CI7000000492.1.R369</v>
      </c>
      <c r="AD38" s="6" t="s">
        <v>104</v>
      </c>
      <c r="AE38" s="6" t="s">
        <v>43</v>
      </c>
      <c r="AF38" s="6"/>
      <c r="AG38" s="6"/>
      <c r="AH38" s="3"/>
    </row>
    <row r="39" spans="1:34" ht="12.75">
      <c r="A39" s="10" t="s">
        <v>109</v>
      </c>
      <c r="B39" s="10" t="s">
        <v>145</v>
      </c>
      <c r="C39" s="7" t="s">
        <v>23</v>
      </c>
      <c r="D39" s="7">
        <v>69</v>
      </c>
      <c r="E39" s="6" t="s">
        <v>42</v>
      </c>
      <c r="F39" s="6" t="s">
        <v>9</v>
      </c>
      <c r="G39" s="6" t="s">
        <v>26</v>
      </c>
      <c r="H39" s="6" t="s">
        <v>24</v>
      </c>
      <c r="I39" s="7" t="s">
        <v>44</v>
      </c>
      <c r="J39" s="7">
        <v>0</v>
      </c>
      <c r="K39" s="7">
        <v>0</v>
      </c>
      <c r="L39" s="7">
        <v>80</v>
      </c>
      <c r="M39" s="7">
        <v>0</v>
      </c>
      <c r="N39" s="7">
        <v>5</v>
      </c>
      <c r="O39" s="7">
        <v>15</v>
      </c>
      <c r="P39" s="8" t="str">
        <f>HYPERLINK("abstracts\ci7000000928.rtf","CI7000000928")</f>
        <v>CI7000000928</v>
      </c>
      <c r="Q39" s="21" t="str">
        <f>HYPERLINK("/assets/documents/TissueScan/abstracts/"&amp;P39&amp;".rtf",P39)</f>
        <v>CI7000000928</v>
      </c>
      <c r="R39" s="8" t="str">
        <f>HYPERLINK("images\ci7000000928.1.4x.jpg","CI7000000928.1.4X")</f>
        <v>CI7000000928.1.4X</v>
      </c>
      <c r="S39" s="12" t="str">
        <f t="shared" si="0"/>
        <v>CI7000000928.1.4X</v>
      </c>
      <c r="T39" s="8" t="str">
        <f>HYPERLINK("images\ci7000000928.1.20x.jpg","CI7000000928.1.20X")</f>
        <v>CI7000000928.1.20X</v>
      </c>
      <c r="U39" s="12" t="str">
        <f t="shared" si="1"/>
        <v>CI7000000928.1.20X</v>
      </c>
      <c r="V39" s="6"/>
      <c r="W39" s="6"/>
      <c r="X39" s="8" t="str">
        <f>HYPERLINK("images\ci7000000928.1.b710.jpg","CI7000000928.1.B710")</f>
        <v>CI7000000928.1.B710</v>
      </c>
      <c r="Y39" s="12" t="str">
        <f t="shared" si="2"/>
        <v>CI7000000928.1.B710</v>
      </c>
      <c r="Z39" s="9">
        <v>1.590000033378601</v>
      </c>
      <c r="AA39" s="9" t="s">
        <v>22</v>
      </c>
      <c r="AB39" s="8" t="str">
        <f>HYPERLINK("images\ci7000000928.1.r369.jpg","CI7000000928.1.R369")</f>
        <v>CI7000000928.1.R369</v>
      </c>
      <c r="AC39" s="12" t="str">
        <f t="shared" si="3"/>
        <v>CI7000000928.1.R369</v>
      </c>
      <c r="AD39" s="6" t="s">
        <v>105</v>
      </c>
      <c r="AE39" s="6" t="s">
        <v>54</v>
      </c>
      <c r="AF39" s="6"/>
      <c r="AG39" s="6"/>
      <c r="AH39" s="3"/>
    </row>
    <row r="40" spans="1:34" ht="12.75">
      <c r="A40" s="10" t="s">
        <v>109</v>
      </c>
      <c r="B40" s="10" t="s">
        <v>146</v>
      </c>
      <c r="C40" s="7" t="s">
        <v>29</v>
      </c>
      <c r="D40" s="7">
        <v>70</v>
      </c>
      <c r="E40" s="6" t="s">
        <v>48</v>
      </c>
      <c r="F40" s="6" t="s">
        <v>9</v>
      </c>
      <c r="G40" s="6" t="s">
        <v>26</v>
      </c>
      <c r="H40" s="6" t="s">
        <v>24</v>
      </c>
      <c r="I40" s="7" t="s">
        <v>44</v>
      </c>
      <c r="J40" s="7">
        <v>0</v>
      </c>
      <c r="K40" s="7">
        <v>0</v>
      </c>
      <c r="L40" s="7">
        <v>85</v>
      </c>
      <c r="M40" s="7">
        <v>0</v>
      </c>
      <c r="N40" s="7">
        <v>0</v>
      </c>
      <c r="O40" s="7">
        <v>15</v>
      </c>
      <c r="P40" s="8" t="str">
        <f>HYPERLINK("abstracts\cu0000000078.rtf","CU0000000078")</f>
        <v>CU0000000078</v>
      </c>
      <c r="Q40" s="21" t="str">
        <f>HYPERLINK("/assets/documents/TissueScan/abstracts/"&amp;P40&amp;".rtf",P40)</f>
        <v>CU0000000078</v>
      </c>
      <c r="R40" s="8" t="str">
        <f>HYPERLINK("images\cu0000000078.2.4x.jpg","CU0000000078.2.4X")</f>
        <v>CU0000000078.2.4X</v>
      </c>
      <c r="S40" s="12" t="str">
        <f t="shared" si="0"/>
        <v>CU0000000078.2.4X</v>
      </c>
      <c r="T40" s="8" t="str">
        <f>HYPERLINK("images\cu0000000078.2.20x.jpg","CU0000000078.2.20X")</f>
        <v>CU0000000078.2.20X</v>
      </c>
      <c r="U40" s="12" t="str">
        <f t="shared" si="1"/>
        <v>CU0000000078.2.20X</v>
      </c>
      <c r="V40" s="6"/>
      <c r="W40" s="6"/>
      <c r="X40" s="8" t="str">
        <f>HYPERLINK("images\cu0000000078.2.b710.jpg","CU0000000078.2.B710")</f>
        <v>CU0000000078.2.B710</v>
      </c>
      <c r="Y40" s="12" t="str">
        <f t="shared" si="2"/>
        <v>CU0000000078.2.B710</v>
      </c>
      <c r="Z40" s="9">
        <v>1.5499999523162842</v>
      </c>
      <c r="AA40" s="9" t="s">
        <v>22</v>
      </c>
      <c r="AB40" s="8" t="str">
        <f>HYPERLINK("images\cu0000000078.2.r369.jpg","CU0000000078.2.R369")</f>
        <v>CU0000000078.2.R369</v>
      </c>
      <c r="AC40" s="12" t="str">
        <f t="shared" si="3"/>
        <v>CU0000000078.2.R369</v>
      </c>
      <c r="AD40" s="6" t="s">
        <v>106</v>
      </c>
      <c r="AE40" s="6" t="s">
        <v>54</v>
      </c>
      <c r="AF40" s="6" t="s">
        <v>68</v>
      </c>
      <c r="AG40" s="6"/>
      <c r="AH40" s="3"/>
    </row>
    <row r="41" spans="1:34" ht="12.75">
      <c r="A41" s="10" t="s">
        <v>109</v>
      </c>
      <c r="B41" s="10" t="s">
        <v>147</v>
      </c>
      <c r="C41" s="7" t="s">
        <v>23</v>
      </c>
      <c r="D41" s="7">
        <v>75</v>
      </c>
      <c r="E41" s="6" t="s">
        <v>69</v>
      </c>
      <c r="F41" s="6" t="s">
        <v>9</v>
      </c>
      <c r="G41" s="6" t="s">
        <v>26</v>
      </c>
      <c r="H41" s="6" t="s">
        <v>24</v>
      </c>
      <c r="I41" s="7" t="s">
        <v>44</v>
      </c>
      <c r="J41" s="7">
        <v>0</v>
      </c>
      <c r="K41" s="7">
        <v>0</v>
      </c>
      <c r="L41" s="7">
        <v>80</v>
      </c>
      <c r="M41" s="7">
        <v>8</v>
      </c>
      <c r="N41" s="7">
        <v>0</v>
      </c>
      <c r="O41" s="7">
        <v>12</v>
      </c>
      <c r="P41" s="8" t="str">
        <f>HYPERLINK("abstracts\cu0000000131.rtf","CU0000000131")</f>
        <v>CU0000000131</v>
      </c>
      <c r="Q41" s="21" t="str">
        <f>HYPERLINK("/assets/documents/TissueScan/abstracts/"&amp;P41&amp;".rtf",P41)</f>
        <v>CU0000000131</v>
      </c>
      <c r="R41" s="8" t="str">
        <f>HYPERLINK("images\cu0000000131.2.4x.jpg","CU0000000131.2.4X")</f>
        <v>CU0000000131.2.4X</v>
      </c>
      <c r="S41" s="12" t="str">
        <f t="shared" si="0"/>
        <v>CU0000000131.2.4X</v>
      </c>
      <c r="T41" s="8" t="str">
        <f>HYPERLINK("images\cu0000000131.2.20x.jpg","CU0000000131.2.20X")</f>
        <v>CU0000000131.2.20X</v>
      </c>
      <c r="U41" s="12" t="str">
        <f t="shared" si="1"/>
        <v>CU0000000131.2.20X</v>
      </c>
      <c r="V41" s="6"/>
      <c r="W41" s="6"/>
      <c r="X41" s="8" t="str">
        <f>HYPERLINK("images\cu0000000131.2.b710.jpg","CU0000000131.2.B710")</f>
        <v>CU0000000131.2.B710</v>
      </c>
      <c r="Y41" s="12" t="str">
        <f t="shared" si="2"/>
        <v>CU0000000131.2.B710</v>
      </c>
      <c r="Z41" s="9">
        <v>1.7599999904632568</v>
      </c>
      <c r="AA41" s="9" t="s">
        <v>22</v>
      </c>
      <c r="AB41" s="8" t="str">
        <f>HYPERLINK("images\cu0000000131.2.r369.jpg","CU0000000131.2.R369")</f>
        <v>CU0000000131.2.R369</v>
      </c>
      <c r="AC41" s="12" t="str">
        <f t="shared" si="3"/>
        <v>CU0000000131.2.R369</v>
      </c>
      <c r="AD41" s="6" t="s">
        <v>107</v>
      </c>
      <c r="AE41" s="6" t="s">
        <v>46</v>
      </c>
      <c r="AF41" s="6" t="s">
        <v>70</v>
      </c>
      <c r="AG41" s="6"/>
      <c r="AH4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8"/>
  <sheetViews>
    <sheetView zoomScalePageLayoutView="0" workbookViewId="0" topLeftCell="T1">
      <selection activeCell="Y13" sqref="Y13"/>
    </sheetView>
  </sheetViews>
  <sheetFormatPr defaultColWidth="9.140625" defaultRowHeight="12.75"/>
  <sheetData>
    <row r="1" spans="2:32" ht="12.75">
      <c r="B1" s="6" t="s">
        <v>151</v>
      </c>
      <c r="C1" s="7">
        <v>2</v>
      </c>
      <c r="D1" s="13">
        <v>32</v>
      </c>
      <c r="E1" s="13">
        <v>74</v>
      </c>
      <c r="F1" s="14">
        <v>0.45</v>
      </c>
      <c r="I1" s="6" t="s">
        <v>152</v>
      </c>
      <c r="J1" s="6" t="s">
        <v>58</v>
      </c>
      <c r="K1" s="6" t="s">
        <v>7</v>
      </c>
      <c r="L1" s="6" t="s">
        <v>153</v>
      </c>
      <c r="M1" s="6" t="s">
        <v>154</v>
      </c>
      <c r="N1" s="6"/>
      <c r="O1" s="6" t="s">
        <v>24</v>
      </c>
      <c r="P1" s="7"/>
      <c r="Q1" s="7">
        <v>100</v>
      </c>
      <c r="R1" s="7">
        <v>0</v>
      </c>
      <c r="S1" s="7">
        <v>0</v>
      </c>
      <c r="T1" s="7">
        <v>0</v>
      </c>
      <c r="U1" s="7">
        <v>0</v>
      </c>
      <c r="V1" s="7">
        <v>0</v>
      </c>
      <c r="W1" s="6" t="s">
        <v>155</v>
      </c>
      <c r="X1" s="8" t="str">
        <f>HYPERLINK("abstracts\cu0000005501.rtf","CU0000005501")</f>
        <v>CU0000005501</v>
      </c>
      <c r="Y1" s="8" t="str">
        <f>HYPERLINK("images\cu0000005501.2.4x.jpg","CU0000005501.2.4X")</f>
        <v>CU0000005501.2.4X</v>
      </c>
      <c r="Z1" s="8" t="str">
        <f>HYPERLINK("images\cu0000005501.2.20x.jpg","CU0000005501.2.20X")</f>
        <v>CU0000005501.2.20X</v>
      </c>
      <c r="AA1" s="6"/>
      <c r="AB1" s="8" t="str">
        <f>HYPERLINK("images\cu0000005501.2.b706.jpg","CU0000005501.2.B706")</f>
        <v>CU0000005501.2.B706</v>
      </c>
      <c r="AC1" s="9">
        <v>1.090000033378601</v>
      </c>
      <c r="AD1" s="9" t="s">
        <v>22</v>
      </c>
      <c r="AE1" s="8" t="str">
        <f>HYPERLINK("images\cu0000005501.2.r365.jpg","CU0000005501.2.R365")</f>
        <v>CU0000005501.2.R365</v>
      </c>
      <c r="AF1" s="6"/>
    </row>
    <row r="2" spans="2:32" ht="12.75">
      <c r="B2" s="6" t="s">
        <v>168</v>
      </c>
      <c r="C2" s="7">
        <v>2</v>
      </c>
      <c r="D2" s="13">
        <v>17</v>
      </c>
      <c r="E2" s="13">
        <v>67</v>
      </c>
      <c r="F2" s="14">
        <v>0.26</v>
      </c>
      <c r="I2" s="6" t="s">
        <v>152</v>
      </c>
      <c r="J2" s="6" t="s">
        <v>58</v>
      </c>
      <c r="K2" s="6" t="s">
        <v>7</v>
      </c>
      <c r="L2" s="6" t="s">
        <v>153</v>
      </c>
      <c r="M2" s="6" t="s">
        <v>169</v>
      </c>
      <c r="N2" s="6"/>
      <c r="O2" s="6" t="s">
        <v>24</v>
      </c>
      <c r="P2" s="7"/>
      <c r="Q2" s="7">
        <v>100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6" t="s">
        <v>162</v>
      </c>
      <c r="X2" s="8" t="str">
        <f>HYPERLINK("abstracts\ci0000000086.rtf","CI0000000086")</f>
        <v>CI0000000086</v>
      </c>
      <c r="Y2" s="8" t="str">
        <f>HYPERLINK("images\ci0000000086.2.4x.jpg","CI0000000086.2.4X")</f>
        <v>CI0000000086.2.4X</v>
      </c>
      <c r="Z2" s="8" t="str">
        <f>HYPERLINK("images\ci0000000086.2.20x.jpg","CI0000000086.2.20X")</f>
        <v>CI0000000086.2.20X</v>
      </c>
      <c r="AA2" s="6"/>
      <c r="AB2" s="8" t="str">
        <f>HYPERLINK("images\ci0000000086.2.b710.jpg","CI0000000086.2.B710")</f>
        <v>CI0000000086.2.B710</v>
      </c>
      <c r="AC2" s="9">
        <v>1.5299999713897705</v>
      </c>
      <c r="AD2" s="9" t="s">
        <v>22</v>
      </c>
      <c r="AE2" s="8" t="str">
        <f>HYPERLINK("images\ci0000000086.2.r369.jpg","CI0000000086.2.R369")</f>
        <v>CI0000000086.2.R369</v>
      </c>
      <c r="AF2" s="6"/>
    </row>
    <row r="3" spans="2:32" ht="12.75">
      <c r="B3" s="6" t="s">
        <v>161</v>
      </c>
      <c r="C3" s="7">
        <v>6</v>
      </c>
      <c r="D3" s="13">
        <v>17</v>
      </c>
      <c r="E3" s="13">
        <v>66</v>
      </c>
      <c r="F3" s="14">
        <v>0.27</v>
      </c>
      <c r="I3" s="6" t="s">
        <v>152</v>
      </c>
      <c r="J3" s="6" t="s">
        <v>58</v>
      </c>
      <c r="K3" s="6" t="s">
        <v>7</v>
      </c>
      <c r="L3" s="6" t="s">
        <v>153</v>
      </c>
      <c r="M3" s="6" t="s">
        <v>154</v>
      </c>
      <c r="N3" s="6"/>
      <c r="O3" s="6" t="s">
        <v>24</v>
      </c>
      <c r="P3" s="7"/>
      <c r="Q3" s="7">
        <v>100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6" t="s">
        <v>162</v>
      </c>
      <c r="X3" s="8" t="str">
        <f>HYPERLINK("abstracts\ci0000007737.rtf","CI0000007737")</f>
        <v>CI0000007737</v>
      </c>
      <c r="Y3" s="8" t="str">
        <f>HYPERLINK("images\ci0000007737.6.4x.jpg","CI0000007737.6.4X")</f>
        <v>CI0000007737.6.4X</v>
      </c>
      <c r="Z3" s="8" t="str">
        <f>HYPERLINK("images\ci0000007737.6.20x.jpg","CI0000007737.6.20X")</f>
        <v>CI0000007737.6.20X</v>
      </c>
      <c r="AA3" s="6"/>
      <c r="AB3" s="8" t="str">
        <f>HYPERLINK("images\ci0000007737.6.b710.jpg","CI0000007737.6.B710")</f>
        <v>CI0000007737.6.B710</v>
      </c>
      <c r="AC3" s="9">
        <v>1.0499999523162842</v>
      </c>
      <c r="AD3" s="9" t="s">
        <v>22</v>
      </c>
      <c r="AE3" s="8" t="str">
        <f>HYPERLINK("images\ci0000007737.6.r369.jpg","CI0000007737.6.R369")</f>
        <v>CI0000007737.6.R369</v>
      </c>
      <c r="AF3" s="6"/>
    </row>
    <row r="6" spans="24:33" ht="12.75">
      <c r="X6" s="8" t="str">
        <f>HYPERLINK("abstracts\cu0000005501.rtf","CU0000005501")</f>
        <v>CU0000005501</v>
      </c>
      <c r="Y6" s="8" t="str">
        <f>LEFT(X6,2)</f>
        <v>CU</v>
      </c>
      <c r="Z6" s="8"/>
      <c r="AA6" s="8" t="str">
        <f>HYPERLINK("images\cu0000005501.2.4x.jpg","CU0000005501.2.4X")</f>
        <v>CU0000005501.2.4X</v>
      </c>
      <c r="AB6" s="8" t="str">
        <f>HYPERLINK("images\cu0000005501.2.20x.jpg","CU0000005501.2.20X")</f>
        <v>CU0000005501.2.20X</v>
      </c>
      <c r="AC6" s="6"/>
      <c r="AD6" s="8" t="str">
        <f>HYPERLINK("images\cu0000005501.2.b706.jpg","CU0000005501.2.B706")</f>
        <v>CU0000005501.2.B706</v>
      </c>
      <c r="AE6" s="9">
        <v>1.090000033378601</v>
      </c>
      <c r="AF6" s="9" t="s">
        <v>22</v>
      </c>
      <c r="AG6" s="8" t="str">
        <f>HYPERLINK("images\cu0000005501.2.r365.jpg","CU0000005501.2.R365")</f>
        <v>CU0000005501.2.R365</v>
      </c>
    </row>
    <row r="7" spans="24:33" ht="12.75">
      <c r="X7" s="8" t="str">
        <f>HYPERLINK("abstracts\ci0000000086.rtf","CI0000000086")</f>
        <v>CI0000000086</v>
      </c>
      <c r="Y7" s="8" t="str">
        <f>LEFT(X7,2)</f>
        <v>CI</v>
      </c>
      <c r="Z7" s="8"/>
      <c r="AA7" s="8" t="str">
        <f>HYPERLINK("images\ci0000000086.2.4x.jpg","CI0000000086.2.4X")</f>
        <v>CI0000000086.2.4X</v>
      </c>
      <c r="AB7" s="8" t="str">
        <f>HYPERLINK("images\ci0000000086.2.20x.jpg","CI0000000086.2.20X")</f>
        <v>CI0000000086.2.20X</v>
      </c>
      <c r="AC7" s="6"/>
      <c r="AD7" s="8" t="str">
        <f>HYPERLINK("images\ci0000000086.2.b710.jpg","CI0000000086.2.B710")</f>
        <v>CI0000000086.2.B710</v>
      </c>
      <c r="AE7" s="9">
        <v>1.5299999713897705</v>
      </c>
      <c r="AF7" s="9" t="s">
        <v>22</v>
      </c>
      <c r="AG7" s="8" t="str">
        <f>HYPERLINK("images\ci0000000086.2.r369.jpg","CI0000000086.2.R369")</f>
        <v>CI0000000086.2.R369</v>
      </c>
    </row>
    <row r="8" spans="24:33" ht="12.75">
      <c r="X8" s="8" t="str">
        <f>HYPERLINK("abstracts\ci0000007737.rtf","CI0000007737")</f>
        <v>CI0000007737</v>
      </c>
      <c r="Y8" s="8" t="str">
        <f>LEFT(X8,2)</f>
        <v>CI</v>
      </c>
      <c r="Z8" s="8"/>
      <c r="AA8" s="8" t="str">
        <f>HYPERLINK("images\ci0000007737.6.4x.jpg","CI0000007737.6.4X")</f>
        <v>CI0000007737.6.4X</v>
      </c>
      <c r="AB8" s="8" t="str">
        <f>HYPERLINK("images\ci0000007737.6.20x.jpg","CI0000007737.6.20X")</f>
        <v>CI0000007737.6.20X</v>
      </c>
      <c r="AC8" s="6"/>
      <c r="AD8" s="8" t="str">
        <f>HYPERLINK("images\ci0000007737.6.b710.jpg","CI0000007737.6.B710")</f>
        <v>CI0000007737.6.B710</v>
      </c>
      <c r="AE8" s="9">
        <v>1.0499999523162842</v>
      </c>
      <c r="AF8" s="9" t="s">
        <v>22</v>
      </c>
      <c r="AG8" s="8" t="str">
        <f>HYPERLINK("images\ci0000007737.6.r369.jpg","CI0000007737.6.R369")</f>
        <v>CI0000007737.6.R369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2005-03-17T13:30:03Z</dcterms:created>
  <dcterms:modified xsi:type="dcterms:W3CDTF">2012-10-15T19:37:12Z</dcterms:modified>
  <cp:category/>
  <cp:version/>
  <cp:contentType/>
  <cp:contentStatus/>
</cp:coreProperties>
</file>