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6540" windowHeight="8835" activeTab="0"/>
  </bookViews>
  <sheets>
    <sheet name="FinalOrder" sheetId="1" r:id="rId1"/>
  </sheets>
  <definedNames/>
  <calcPr fullCalcOnLoad="1"/>
</workbook>
</file>

<file path=xl/sharedStrings.xml><?xml version="1.0" encoding="utf-8"?>
<sst xmlns="http://schemas.openxmlformats.org/spreadsheetml/2006/main" count="484" uniqueCount="209">
  <si>
    <t>Sample ID</t>
  </si>
  <si>
    <t>Age</t>
  </si>
  <si>
    <t>Gender</t>
  </si>
  <si>
    <t>Tissue of (Origin/Finding)</t>
  </si>
  <si>
    <t>Appearance</t>
  </si>
  <si>
    <t>Case Diagnosis from Donor Institution Pathology Report</t>
  </si>
  <si>
    <t>TNM</t>
  </si>
  <si>
    <t>Normal</t>
  </si>
  <si>
    <t>Lesion</t>
  </si>
  <si>
    <t>Tumor</t>
  </si>
  <si>
    <t>Tumor Hypercellular Stroma</t>
  </si>
  <si>
    <t>Tumor Hypo/Acellular Stroma</t>
  </si>
  <si>
    <t>Necrosis</t>
  </si>
  <si>
    <t>Cytomyx Pathology Verification Notes</t>
  </si>
  <si>
    <t>Abstracted Pathology Report</t>
  </si>
  <si>
    <t>Tissue Image (4X)</t>
  </si>
  <si>
    <t>Tissue Image (20X)</t>
  </si>
  <si>
    <t>Electropherogram</t>
  </si>
  <si>
    <t>Bioanalyzer Ratio (28S/18S)</t>
  </si>
  <si>
    <t>RT-PCR Image</t>
  </si>
  <si>
    <t>Female</t>
  </si>
  <si>
    <t>Endometrium / Endometrium</t>
  </si>
  <si>
    <t>Adenocarcinoma of endometrium, endometrioid, squamous features</t>
  </si>
  <si>
    <t>pT1apN0pMX</t>
  </si>
  <si>
    <t>IA</t>
  </si>
  <si>
    <t>Adenocarcinoma of endometrium, endometrioid</t>
  </si>
  <si>
    <t>Tumor: foci of secretory differentiation in glandular areas, scattered small foci of more solid tumor, no myometrial invasion seen</t>
  </si>
  <si>
    <t>Adenocarcinoma of endometrium, serous</t>
  </si>
  <si>
    <t>Tumor: no myometrial invasion seen</t>
  </si>
  <si>
    <t>Adenocarcinoma of endometrium, endometrioid, mucinous</t>
  </si>
  <si>
    <t>pT1apNXpMX</t>
  </si>
  <si>
    <t>Tumor: with focal squamous differentiation and no invasion into myometrium</t>
  </si>
  <si>
    <t>Adenocarcinoma of endometrium</t>
  </si>
  <si>
    <t>Adenocarcinoma of endometrium, endometrioid, papillary serous</t>
  </si>
  <si>
    <t>pT1bpN0pMX</t>
  </si>
  <si>
    <t>IB</t>
  </si>
  <si>
    <t>adenocarcinoma of endometrium, mixed endometrioid and papillary serous types; tumor stroma: 60% mixed inflammatory cells, 40% desmoplasia; normal: 100% myometrium</t>
  </si>
  <si>
    <t>Endometrium / Uterus</t>
  </si>
  <si>
    <t>Carcinoma of endometrium, papillary serous</t>
  </si>
  <si>
    <t>Adenocarcinoma of endometrium, papillary serous</t>
  </si>
  <si>
    <t>pT1cpN0pMX</t>
  </si>
  <si>
    <t>IC</t>
  </si>
  <si>
    <t>Tumor: with neuroendocrine features</t>
  </si>
  <si>
    <t>Tumor Stroma (Cellular): Inflammatory cells</t>
  </si>
  <si>
    <t>pT2apN0pMX</t>
  </si>
  <si>
    <t>IIA</t>
  </si>
  <si>
    <t>pT2bpN0pMX</t>
  </si>
  <si>
    <t>IIB</t>
  </si>
  <si>
    <t>pT2bpNXpMX</t>
  </si>
  <si>
    <t>pT2pN0pMX</t>
  </si>
  <si>
    <t>II</t>
  </si>
  <si>
    <t>pT2apN1pMX</t>
  </si>
  <si>
    <t>IIIC</t>
  </si>
  <si>
    <t>pT3apN1pMX</t>
  </si>
  <si>
    <t>Adenocarcinoma of endometrium, endometrioid, clear cell</t>
  </si>
  <si>
    <t>pT3apN0pMX</t>
  </si>
  <si>
    <t>IIIA</t>
  </si>
  <si>
    <t>pT1cpN1pMX</t>
  </si>
  <si>
    <t>Tumor area: 6 mm x 4 mm</t>
  </si>
  <si>
    <t>pT1bpN1pMX</t>
  </si>
  <si>
    <t>Tumor area: 5 mm x 3 mm</t>
  </si>
  <si>
    <t>Tumor area: 6 mm x 3 mm</t>
  </si>
  <si>
    <t>pT3apN1cpMX</t>
  </si>
  <si>
    <t>Tumor Stroma (Hypo/Acellular): Fibrosis; Other Features/Comments: Tumor area: 4 mm x 2 mm</t>
  </si>
  <si>
    <t>pT3apNXpMX</t>
  </si>
  <si>
    <t>Tumor Stroma (Cellular): Desmoplastic reaction, Inflammatory cells; Other Features/Comments: Tumor area: 6 mm x 3 mm</t>
  </si>
  <si>
    <t>Tumor Stroma (Cellular): Desmoplastic reaction, Inflammatory cells; Other Features/Comments: Tumor area: 5 mm x 4 mm</t>
  </si>
  <si>
    <t>Tumor Stroma (Cellular): Desmoplastic reaction, Inflammatory cells; Other Features/Comments: Tumor area: 10 mm x 5 mm</t>
  </si>
  <si>
    <t>Non Tumor Structures: 100% Myometrium; Other Features/Comments: Tumor area: 7 mm x 4 mm</t>
  </si>
  <si>
    <t>Non Tumor Structures: 100% Myometrium; Other Features/Comments: Tumor area: 7 mm x 3 mm</t>
  </si>
  <si>
    <t>pT2bpN1pMX</t>
  </si>
  <si>
    <t>Non Tumor Structures: 100% Myometrium; Other Features/Comments: Tumor area: 7 mm x 5 mm</t>
  </si>
  <si>
    <t>Endometrium / Ovary: right</t>
  </si>
  <si>
    <t>pT3apN1pM1</t>
  </si>
  <si>
    <t>IVB</t>
  </si>
  <si>
    <t>pT1bpN0pM1</t>
  </si>
  <si>
    <t>Tumor area: 5 mm x 4 mm</t>
  </si>
  <si>
    <t>pT3apNXpM1</t>
  </si>
  <si>
    <t>Tumor Stroma (Cellular): Desmoplastic reaction; Other Features/Comments: Tumor area: 6 mm x 5 mm</t>
  </si>
  <si>
    <t>Endometrium / Omentum</t>
  </si>
  <si>
    <t>Adenocarcinoma of endometrium, metastatic</t>
  </si>
  <si>
    <t>pTXpNXpM1</t>
  </si>
  <si>
    <t>IV</t>
  </si>
  <si>
    <t>Tumor Stroma (Hypo/Acellular): Fibrosis; Other Features/Comments: Tumor area: 8 mm x 4 mm</t>
  </si>
  <si>
    <t>Carcinoma of endometrium, squamous cell</t>
  </si>
  <si>
    <t>pT3pNXpM1</t>
  </si>
  <si>
    <t>Non Tumor Structures: 100% Myometrium; Other Features/Comments: poorly differentiated endometrial carcinoma with squamous differentiation, Tumor area: 9 mm x 4.5 mm</t>
  </si>
  <si>
    <t>pT4apNXpMX</t>
  </si>
  <si>
    <t>IVA</t>
  </si>
  <si>
    <t>Tumor Stroma (Hypo/Acellular): Fibrosis; Other Features/Comments: Tumor area: 5 mm x 3 mm</t>
  </si>
  <si>
    <t>pT2pNXpM1</t>
  </si>
  <si>
    <t>Tumor area: 7 mm x 5 mm</t>
  </si>
  <si>
    <t>Endometrium / Ovary</t>
  </si>
  <si>
    <t>Tumor area: 8 mm x 4 mm</t>
  </si>
  <si>
    <t>Uterus / Uterus</t>
  </si>
  <si>
    <t>Leiomyoma of myometrium</t>
  </si>
  <si>
    <t>Not Reported</t>
  </si>
  <si>
    <t>Non Tumor Structures: 15% Glands, 10% Stroma, 75% Myometrium; Other Features/Comments: Proliferative endomtrium</t>
  </si>
  <si>
    <t>No pathologic disease</t>
  </si>
  <si>
    <t>25% secretory endometrium (20% glands, 5% stroma), 75% myometrium</t>
  </si>
  <si>
    <t>70% proliferative endometrium (45% glands, 25% stroma), 30% myometrium</t>
  </si>
  <si>
    <t>Endometrium, proliferative</t>
  </si>
  <si>
    <t>40% proliferative glands, 60% stroma</t>
  </si>
  <si>
    <t>Non Tumor Structures: 20% Glands, 30% Stroma, 50% Myometrium</t>
  </si>
  <si>
    <t>Cyst of peritoneum</t>
  </si>
  <si>
    <t>Non Tumor Structures: 20% Glands, 30% Stroma, 50% Myometrium; Other Features/Comments: Proliferative endometrium</t>
  </si>
  <si>
    <t>Non Tumor Structures: 15% Glands, 30% Stroma, 55% Myometrium; Other Features/Comments: Proliferative endometrium</t>
  </si>
  <si>
    <t>Non Tumor Structures: 50% Glands, 10% Stroma, 40% Myometrium; Other Features/Comments: secretory endometrium</t>
  </si>
  <si>
    <t>RN00003B2B</t>
  </si>
  <si>
    <t>RN00003B2C</t>
  </si>
  <si>
    <t>RN00003B2D</t>
  </si>
  <si>
    <t>RN00003B2E</t>
  </si>
  <si>
    <t>RN00003B2F</t>
  </si>
  <si>
    <t>RN00003B30</t>
  </si>
  <si>
    <t>RN00003B31</t>
  </si>
  <si>
    <t>RN00003B32</t>
  </si>
  <si>
    <t>RN00003B33</t>
  </si>
  <si>
    <t>RN00003B34</t>
  </si>
  <si>
    <t>RN00003B35</t>
  </si>
  <si>
    <t>RN00003B36</t>
  </si>
  <si>
    <t>RN00003B37</t>
  </si>
  <si>
    <t>RN00003B38</t>
  </si>
  <si>
    <t>RN00003B39</t>
  </si>
  <si>
    <t>RN00003B3A</t>
  </si>
  <si>
    <t>RN00003B3B</t>
  </si>
  <si>
    <t>RN00003B3C</t>
  </si>
  <si>
    <t>RN00003B3D</t>
  </si>
  <si>
    <t>RN00003B3E</t>
  </si>
  <si>
    <t>RN00003B3F</t>
  </si>
  <si>
    <t>RN00003B40</t>
  </si>
  <si>
    <t>RN00003B41</t>
  </si>
  <si>
    <t>RN00003B42</t>
  </si>
  <si>
    <t>RN00003B43</t>
  </si>
  <si>
    <t>RN00003B44</t>
  </si>
  <si>
    <t>RN00003B45</t>
  </si>
  <si>
    <t>RN00003B46</t>
  </si>
  <si>
    <t>RN00003B47</t>
  </si>
  <si>
    <t>RN00003B48</t>
  </si>
  <si>
    <t>RN00003B49</t>
  </si>
  <si>
    <t>RN00003B4A</t>
  </si>
  <si>
    <t>RN00003B4B</t>
  </si>
  <si>
    <t>RN00003B4C</t>
  </si>
  <si>
    <t>RN00003B4D</t>
  </si>
  <si>
    <t>RN00003B4E</t>
  </si>
  <si>
    <t>RN00003B4F</t>
  </si>
  <si>
    <t>RN00003B50</t>
  </si>
  <si>
    <t>RN00003B51</t>
  </si>
  <si>
    <t>RN00003B52</t>
  </si>
  <si>
    <t>RN00003B53</t>
  </si>
  <si>
    <t>RN00003B54</t>
  </si>
  <si>
    <t>RN00003B55</t>
  </si>
  <si>
    <t>RN00003B56</t>
  </si>
  <si>
    <t>RN00003B57</t>
  </si>
  <si>
    <t>RN00003B58</t>
  </si>
  <si>
    <t>RN00003B59</t>
  </si>
  <si>
    <t>RN00003B5A</t>
  </si>
  <si>
    <t>SKU</t>
  </si>
  <si>
    <t>Well</t>
  </si>
  <si>
    <t>Stage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</si>
  <si>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</si>
  <si>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</si>
  <si>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</si>
  <si>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</si>
  <si>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</si>
  <si>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</si>
  <si>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</si>
  <si>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</si>
  <si>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</si>
  <si>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</si>
  <si>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</si>
  <si>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</si>
  <si>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</si>
  <si>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</si>
  <si>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</si>
  <si>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</si>
  <si>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</si>
  <si>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</si>
  <si>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</si>
  <si>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</si>
  <si>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</si>
  <si>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</si>
  <si>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</si>
  <si>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</si>
  <si>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</si>
  <si>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</si>
  <si>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</si>
  <si>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</si>
  <si>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</si>
  <si>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</si>
  <si>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</si>
  <si>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</si>
  <si>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</si>
  <si>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</si>
  <si>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</si>
  <si>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</si>
  <si>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</si>
  <si>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</si>
  <si>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</si>
  <si>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</si>
  <si>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</si>
  <si>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</si>
  <si>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</si>
  <si>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</si>
  <si>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</si>
  <si>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</si>
  <si>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</si>
  <si>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</si>
  <si>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</si>
  <si>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EDRT102/302/502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</si>
</sst>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#.00"/>
    <numFmt numFmtId="166" formatCode="mm/dd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#.##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170" fontId="0" fillId="0" borderId="0" xfId="0" applyNumberForma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0" fontId="4" fillId="0" borderId="0" xfId="53" applyFont="1" applyAlignment="1" applyProtection="1">
      <alignment horizontal="left"/>
      <protection/>
    </xf>
    <xf numFmtId="2" fontId="3" fillId="0" borderId="0" xfId="0" applyNumberFormat="1" applyFont="1" applyAlignment="1">
      <alignment horizontal="center"/>
    </xf>
    <xf numFmtId="0" fontId="4" fillId="0" borderId="0" xfId="53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zoomScalePageLayoutView="0" workbookViewId="0" topLeftCell="A1">
      <selection activeCell="O2" sqref="O2"/>
    </sheetView>
  </sheetViews>
  <sheetFormatPr defaultColWidth="9.140625" defaultRowHeight="12.75"/>
  <cols>
    <col min="1" max="1" width="13.421875" style="4" bestFit="1" customWidth="1"/>
    <col min="2" max="2" width="5.140625" style="7" bestFit="1" customWidth="1"/>
    <col min="3" max="3" width="5.140625" style="7" customWidth="1"/>
    <col min="4" max="4" width="10.421875" style="17" bestFit="1" customWidth="1"/>
    <col min="5" max="5" width="8.7109375" style="17" customWidth="1"/>
    <col min="6" max="6" width="5.7109375" style="17" customWidth="1"/>
    <col min="7" max="7" width="20.7109375" style="1" customWidth="1"/>
    <col min="8" max="8" width="11.57421875" style="1" customWidth="1"/>
    <col min="9" max="9" width="14.28125" style="1" customWidth="1"/>
    <col min="10" max="10" width="5.8515625" style="17" customWidth="1"/>
    <col min="11" max="15" width="4.7109375" style="17" customWidth="1"/>
    <col min="16" max="16" width="4.57421875" style="17" customWidth="1"/>
    <col min="17" max="17" width="11.7109375" style="1" hidden="1" customWidth="1"/>
    <col min="18" max="18" width="11.7109375" style="1" customWidth="1"/>
    <col min="19" max="19" width="18.7109375" style="1" hidden="1" customWidth="1"/>
    <col min="20" max="20" width="17.28125" style="1" bestFit="1" customWidth="1"/>
    <col min="21" max="21" width="18.7109375" style="1" hidden="1" customWidth="1"/>
    <col min="22" max="22" width="18.28125" style="1" bestFit="1" customWidth="1"/>
    <col min="23" max="23" width="18.7109375" style="1" hidden="1" customWidth="1"/>
    <col min="24" max="24" width="17.57421875" style="1" bestFit="1" customWidth="1"/>
    <col min="25" max="25" width="12.7109375" style="1" customWidth="1"/>
    <col min="26" max="26" width="18.7109375" style="1" hidden="1" customWidth="1"/>
    <col min="27" max="27" width="18.7109375" style="1" customWidth="1"/>
    <col min="28" max="28" width="11.00390625" style="1" bestFit="1" customWidth="1"/>
    <col min="29" max="29" width="29.8515625" style="1" customWidth="1"/>
    <col min="31" max="31" width="12.7109375" style="1" customWidth="1"/>
    <col min="32" max="32" width="3.28125" style="1" bestFit="1" customWidth="1"/>
    <col min="33" max="34" width="8.7109375" style="1" customWidth="1"/>
    <col min="35" max="35" width="12.28125" style="3" customWidth="1"/>
    <col min="36" max="36" width="13.140625" style="1" bestFit="1" customWidth="1"/>
    <col min="37" max="38" width="30.7109375" style="1" customWidth="1"/>
  </cols>
  <sheetData>
    <row r="1" spans="1:38" ht="12.75">
      <c r="A1" s="4" t="s">
        <v>156</v>
      </c>
      <c r="B1" s="7" t="s">
        <v>157</v>
      </c>
      <c r="C1" s="7" t="s">
        <v>159</v>
      </c>
      <c r="D1" s="7" t="s">
        <v>0</v>
      </c>
      <c r="E1" s="7" t="s">
        <v>2</v>
      </c>
      <c r="F1" s="7" t="s">
        <v>1</v>
      </c>
      <c r="G1" s="4" t="s">
        <v>3</v>
      </c>
      <c r="H1" s="4" t="s">
        <v>4</v>
      </c>
      <c r="I1" s="4" t="s">
        <v>5</v>
      </c>
      <c r="J1" s="7" t="s">
        <v>158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R1" s="4" t="s">
        <v>14</v>
      </c>
      <c r="T1" s="4" t="s">
        <v>15</v>
      </c>
      <c r="V1" s="4" t="s">
        <v>16</v>
      </c>
      <c r="X1" s="4" t="s">
        <v>17</v>
      </c>
      <c r="Y1" s="7" t="s">
        <v>18</v>
      </c>
      <c r="AA1" s="4" t="s">
        <v>19</v>
      </c>
      <c r="AB1" s="4" t="s">
        <v>6</v>
      </c>
      <c r="AC1" s="4" t="s">
        <v>13</v>
      </c>
      <c r="AD1" s="2"/>
      <c r="AE1" s="4"/>
      <c r="AF1" s="7"/>
      <c r="AG1" s="7"/>
      <c r="AH1" s="7"/>
      <c r="AI1" s="8"/>
      <c r="AJ1" s="4"/>
      <c r="AK1" s="4"/>
      <c r="AL1" s="4"/>
    </row>
    <row r="2" spans="1:38" ht="12.75">
      <c r="A2" s="6" t="s">
        <v>208</v>
      </c>
      <c r="B2" s="16">
        <v>1</v>
      </c>
      <c r="C2" s="10" t="s">
        <v>160</v>
      </c>
      <c r="D2" s="10" t="s">
        <v>109</v>
      </c>
      <c r="E2" s="10" t="s">
        <v>20</v>
      </c>
      <c r="F2" s="10">
        <v>46</v>
      </c>
      <c r="G2" s="9" t="s">
        <v>94</v>
      </c>
      <c r="H2" s="9" t="s">
        <v>7</v>
      </c>
      <c r="I2" s="9" t="s">
        <v>95</v>
      </c>
      <c r="J2" s="10" t="s">
        <v>96</v>
      </c>
      <c r="K2" s="10">
        <v>100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3" t="str">
        <f>HYPERLINK("abstracts\ci0000000041.rtf","CI0000000041")</f>
        <v>CI0000000041</v>
      </c>
      <c r="R2" s="18" t="str">
        <f>HYPERLINK("/assets/documents/TissueScan/abstracts/"&amp;Q2&amp;".rtf",Q2)</f>
        <v>CI0000000041</v>
      </c>
      <c r="S2" s="13" t="str">
        <f>HYPERLINK("images\ci0000000041.4.4x.jpg","CI0000000041.4.4X")</f>
        <v>CI0000000041.4.4X</v>
      </c>
      <c r="T2" s="15" t="str">
        <f aca="true" t="shared" si="0" ref="T2:T49">HYPERLINK("/images/rapidscan/"&amp;S2&amp;".jpg",S2)</f>
        <v>CI0000000041.4.4X</v>
      </c>
      <c r="U2" s="13" t="str">
        <f>HYPERLINK("images\ci0000000041.4.20x.jpg","CI0000000041.4.20X")</f>
        <v>CI0000000041.4.20X</v>
      </c>
      <c r="V2" s="15" t="str">
        <f aca="true" t="shared" si="1" ref="V2:V49">HYPERLINK("/images/rapidscan/"&amp;U2&amp;".jpg",U2)</f>
        <v>CI0000000041.4.20X</v>
      </c>
      <c r="W2" s="13" t="str">
        <f>HYPERLINK("images\ci0000000041.4.b160.jpg","CI0000000041.4.B160")</f>
        <v>CI0000000041.4.B160</v>
      </c>
      <c r="X2" s="15" t="str">
        <f aca="true" t="shared" si="2" ref="X2:X49">HYPERLINK("/images/rapidscan/"&amp;W2&amp;".jpg",W2)</f>
        <v>CI0000000041.4.B160</v>
      </c>
      <c r="Y2" s="14">
        <v>1.4700000286102295</v>
      </c>
      <c r="Z2" s="13" t="str">
        <f>HYPERLINK("images\ci0000000041.4.r91.jpg","CI0000000041.4.R91")</f>
        <v>CI0000000041.4.R91</v>
      </c>
      <c r="AA2" s="15" t="str">
        <f aca="true" t="shared" si="3" ref="AA2:AA49">HYPERLINK("/images/rapidscan/"&amp;Z2&amp;".jpg",Z2)</f>
        <v>CI0000000041.4.R91</v>
      </c>
      <c r="AB2" s="9" t="s">
        <v>96</v>
      </c>
      <c r="AC2" s="9" t="s">
        <v>97</v>
      </c>
      <c r="AD2" s="5"/>
      <c r="AE2" s="9"/>
      <c r="AF2" s="10"/>
      <c r="AG2" s="11"/>
      <c r="AH2" s="11"/>
      <c r="AI2" s="12"/>
      <c r="AJ2" s="9"/>
      <c r="AK2" s="9"/>
      <c r="AL2" s="9"/>
    </row>
    <row r="3" spans="1:38" ht="12.75">
      <c r="A3" s="6" t="s">
        <v>208</v>
      </c>
      <c r="B3" s="16">
        <v>2</v>
      </c>
      <c r="C3" s="10" t="s">
        <v>161</v>
      </c>
      <c r="D3" s="10" t="s">
        <v>108</v>
      </c>
      <c r="E3" s="10" t="s">
        <v>20</v>
      </c>
      <c r="F3" s="10">
        <v>31</v>
      </c>
      <c r="G3" s="9" t="s">
        <v>94</v>
      </c>
      <c r="H3" s="9" t="s">
        <v>7</v>
      </c>
      <c r="I3" s="9" t="s">
        <v>98</v>
      </c>
      <c r="J3" s="10"/>
      <c r="K3" s="10">
        <v>100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3" t="str">
        <f>HYPERLINK("abstracts\cu0000005485.rtf","CU0000005485")</f>
        <v>CU0000005485</v>
      </c>
      <c r="R3" s="18" t="str">
        <f>HYPERLINK("/assets/documents/TissueScan/abstracts/"&amp;Q3&amp;".rtf",Q3)</f>
        <v>CU0000005485</v>
      </c>
      <c r="S3" s="13" t="str">
        <f>HYPERLINK("images\cu0000005485.1.4x.jpg","CU0000005485.1.4X")</f>
        <v>CU0000005485.1.4X</v>
      </c>
      <c r="T3" s="15" t="str">
        <f t="shared" si="0"/>
        <v>CU0000005485.1.4X</v>
      </c>
      <c r="U3" s="13" t="str">
        <f>HYPERLINK("images\cu0000005485.1.20x.jpg","CU0000005485.1.20X")</f>
        <v>CU0000005485.1.20X</v>
      </c>
      <c r="V3" s="15" t="str">
        <f t="shared" si="1"/>
        <v>CU0000005485.1.20X</v>
      </c>
      <c r="W3" s="13" t="str">
        <f>HYPERLINK("images\cu0000005485.1.b184.jpg","CU0000005485.1.B184")</f>
        <v>CU0000005485.1.B184</v>
      </c>
      <c r="X3" s="15" t="str">
        <f t="shared" si="2"/>
        <v>CU0000005485.1.B184</v>
      </c>
      <c r="Y3" s="14">
        <v>1.399999976158142</v>
      </c>
      <c r="Z3" s="13" t="str">
        <f>HYPERLINK("images\cu0000005485.1.r106.jpg","CU0000005485.1.R106")</f>
        <v>CU0000005485.1.R106</v>
      </c>
      <c r="AA3" s="15" t="str">
        <f t="shared" si="3"/>
        <v>CU0000005485.1.R106</v>
      </c>
      <c r="AB3" s="9" t="s">
        <v>96</v>
      </c>
      <c r="AC3" s="9" t="s">
        <v>99</v>
      </c>
      <c r="AD3" s="5"/>
      <c r="AE3" s="9"/>
      <c r="AF3" s="10"/>
      <c r="AG3" s="11"/>
      <c r="AH3" s="11"/>
      <c r="AI3" s="12"/>
      <c r="AJ3" s="9"/>
      <c r="AK3" s="9"/>
      <c r="AL3" s="9"/>
    </row>
    <row r="4" spans="1:38" ht="12.75">
      <c r="A4" s="6" t="s">
        <v>208</v>
      </c>
      <c r="B4" s="16">
        <v>3</v>
      </c>
      <c r="C4" s="10" t="s">
        <v>162</v>
      </c>
      <c r="D4" s="10" t="s">
        <v>110</v>
      </c>
      <c r="E4" s="10" t="s">
        <v>20</v>
      </c>
      <c r="F4" s="10">
        <v>43</v>
      </c>
      <c r="G4" s="9" t="s">
        <v>94</v>
      </c>
      <c r="H4" s="9" t="s">
        <v>7</v>
      </c>
      <c r="I4" s="9" t="s">
        <v>95</v>
      </c>
      <c r="J4" s="10" t="s">
        <v>96</v>
      </c>
      <c r="K4" s="10">
        <v>100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3" t="str">
        <f>HYPERLINK("abstracts\cu0000011022.rtf","CU0000011022")</f>
        <v>CU0000011022</v>
      </c>
      <c r="R4" s="18" t="str">
        <f>HYPERLINK("/assets/documents/TissueScan/abstracts/"&amp;Q4&amp;".rtf",Q4)</f>
        <v>CU0000011022</v>
      </c>
      <c r="S4" s="13" t="str">
        <f>HYPERLINK("images\cu0000011022.1.4x.jpg","CU0000011022.1.4X")</f>
        <v>CU0000011022.1.4X</v>
      </c>
      <c r="T4" s="15" t="str">
        <f t="shared" si="0"/>
        <v>CU0000011022.1.4X</v>
      </c>
      <c r="U4" s="13" t="str">
        <f>HYPERLINK("images\cu0000011022.1.20x.jpg","CU0000011022.1.20X")</f>
        <v>CU0000011022.1.20X</v>
      </c>
      <c r="V4" s="15" t="str">
        <f t="shared" si="1"/>
        <v>CU0000011022.1.20X</v>
      </c>
      <c r="W4" s="13" t="str">
        <f>HYPERLINK("images\cu0000011022.1.b518.jpg","CU0000011022.1.B518")</f>
        <v>CU0000011022.1.B518</v>
      </c>
      <c r="X4" s="15" t="str">
        <f t="shared" si="2"/>
        <v>CU0000011022.1.B518</v>
      </c>
      <c r="Y4" s="14">
        <v>1.3700000047683716</v>
      </c>
      <c r="Z4" s="13" t="str">
        <f>HYPERLINK("images\cu0000011022.1.r249.jpg","CU0000011022.1.R249")</f>
        <v>CU0000011022.1.R249</v>
      </c>
      <c r="AA4" s="15" t="str">
        <f t="shared" si="3"/>
        <v>CU0000011022.1.R249</v>
      </c>
      <c r="AB4" s="9" t="s">
        <v>96</v>
      </c>
      <c r="AC4" s="9" t="s">
        <v>100</v>
      </c>
      <c r="AD4" s="5"/>
      <c r="AE4" s="9"/>
      <c r="AF4" s="10"/>
      <c r="AG4" s="11"/>
      <c r="AH4" s="11"/>
      <c r="AI4" s="12"/>
      <c r="AJ4" s="9"/>
      <c r="AK4" s="9"/>
      <c r="AL4" s="9"/>
    </row>
    <row r="5" spans="1:38" ht="12.75">
      <c r="A5" s="6" t="s">
        <v>208</v>
      </c>
      <c r="B5" s="16">
        <v>4</v>
      </c>
      <c r="C5" s="10" t="s">
        <v>163</v>
      </c>
      <c r="D5" s="10" t="s">
        <v>134</v>
      </c>
      <c r="E5" s="10" t="s">
        <v>20</v>
      </c>
      <c r="F5" s="10">
        <v>46</v>
      </c>
      <c r="G5" s="9" t="s">
        <v>21</v>
      </c>
      <c r="H5" s="9" t="s">
        <v>7</v>
      </c>
      <c r="I5" s="9" t="s">
        <v>101</v>
      </c>
      <c r="J5" s="10"/>
      <c r="K5" s="10">
        <v>100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3" t="str">
        <f>HYPERLINK("abstracts\cu0000001300.rtf","CU0000001300")</f>
        <v>CU0000001300</v>
      </c>
      <c r="R5" s="18" t="str">
        <f>HYPERLINK("/assets/documents/TissueScan/abstracts/"&amp;Q5&amp;".rtf",Q5)</f>
        <v>CU0000001300</v>
      </c>
      <c r="S5" s="13" t="str">
        <f>HYPERLINK("images\cu0000001300.1.4x.jpg","CU0000001300.1.4X")</f>
        <v>CU0000001300.1.4X</v>
      </c>
      <c r="T5" s="15" t="str">
        <f t="shared" si="0"/>
        <v>CU0000001300.1.4X</v>
      </c>
      <c r="U5" s="13" t="str">
        <f>HYPERLINK("images\cu0000001300.1.20x.jpg","CU0000001300.1.20X")</f>
        <v>CU0000001300.1.20X</v>
      </c>
      <c r="V5" s="15" t="str">
        <f t="shared" si="1"/>
        <v>CU0000001300.1.20X</v>
      </c>
      <c r="W5" s="13" t="str">
        <f>HYPERLINK("images\cu0000001300.1.b703.jpg","CU0000001300.1.B703")</f>
        <v>CU0000001300.1.B703</v>
      </c>
      <c r="X5" s="15" t="str">
        <f t="shared" si="2"/>
        <v>CU0000001300.1.B703</v>
      </c>
      <c r="Y5" s="14">
        <v>1.6399999856948853</v>
      </c>
      <c r="Z5" s="13" t="str">
        <f>HYPERLINK("images\cu0000001300.1.r362.jpg","CU0000001300.1.R362")</f>
        <v>CU0000001300.1.R362</v>
      </c>
      <c r="AA5" s="15" t="str">
        <f t="shared" si="3"/>
        <v>CU0000001300.1.R362</v>
      </c>
      <c r="AB5" s="9" t="s">
        <v>96</v>
      </c>
      <c r="AC5" s="9" t="s">
        <v>102</v>
      </c>
      <c r="AD5" s="5"/>
      <c r="AE5" s="9"/>
      <c r="AF5" s="10"/>
      <c r="AG5" s="11"/>
      <c r="AH5" s="11"/>
      <c r="AI5" s="12"/>
      <c r="AJ5" s="9"/>
      <c r="AK5" s="9"/>
      <c r="AL5" s="9"/>
    </row>
    <row r="6" spans="1:38" ht="12.75">
      <c r="A6" s="6" t="s">
        <v>208</v>
      </c>
      <c r="B6" s="16">
        <v>5</v>
      </c>
      <c r="C6" s="10" t="s">
        <v>164</v>
      </c>
      <c r="D6" s="10" t="s">
        <v>131</v>
      </c>
      <c r="E6" s="10" t="s">
        <v>20</v>
      </c>
      <c r="F6" s="10">
        <v>43</v>
      </c>
      <c r="G6" s="9" t="s">
        <v>94</v>
      </c>
      <c r="H6" s="9" t="s">
        <v>7</v>
      </c>
      <c r="I6" s="9" t="s">
        <v>95</v>
      </c>
      <c r="J6" s="10" t="s">
        <v>96</v>
      </c>
      <c r="K6" s="10">
        <v>100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3" t="str">
        <f>HYPERLINK("abstracts\ci0000009829.rtf","CI0000009829")</f>
        <v>CI0000009829</v>
      </c>
      <c r="R6" s="18" t="str">
        <f>HYPERLINK("/assets/documents/TissueScan/abstracts/"&amp;Q6&amp;".rtf",Q6)</f>
        <v>CI0000009829</v>
      </c>
      <c r="S6" s="13" t="str">
        <f>HYPERLINK("images\ci0000009829.1.4x.jpg","CI0000009829.1.4X")</f>
        <v>CI0000009829.1.4X</v>
      </c>
      <c r="T6" s="15" t="str">
        <f t="shared" si="0"/>
        <v>CI0000009829.1.4X</v>
      </c>
      <c r="U6" s="13" t="str">
        <f>HYPERLINK("images\ci0000009829.1.20x.jpg","CI0000009829.1.20X")</f>
        <v>CI0000009829.1.20X</v>
      </c>
      <c r="V6" s="15" t="str">
        <f t="shared" si="1"/>
        <v>CI0000009829.1.20X</v>
      </c>
      <c r="W6" s="13" t="str">
        <f>HYPERLINK("images\ci0000009829.1.b703.jpg","CI0000009829.1.B703")</f>
        <v>CI0000009829.1.B703</v>
      </c>
      <c r="X6" s="15" t="str">
        <f t="shared" si="2"/>
        <v>CI0000009829.1.B703</v>
      </c>
      <c r="Y6" s="14">
        <v>1.409999966621399</v>
      </c>
      <c r="Z6" s="13" t="str">
        <f>HYPERLINK("images\ci0000009829.1.r362.jpg","CI0000009829.1.R362")</f>
        <v>CI0000009829.1.R362</v>
      </c>
      <c r="AA6" s="15" t="str">
        <f t="shared" si="3"/>
        <v>CI0000009829.1.R362</v>
      </c>
      <c r="AB6" s="9" t="s">
        <v>96</v>
      </c>
      <c r="AC6" s="9" t="s">
        <v>103</v>
      </c>
      <c r="AD6" s="5"/>
      <c r="AE6" s="9"/>
      <c r="AF6" s="10"/>
      <c r="AG6" s="11"/>
      <c r="AH6" s="11"/>
      <c r="AI6" s="12"/>
      <c r="AJ6" s="9"/>
      <c r="AK6" s="9"/>
      <c r="AL6" s="9"/>
    </row>
    <row r="7" spans="1:38" ht="12.75">
      <c r="A7" s="6" t="s">
        <v>208</v>
      </c>
      <c r="B7" s="16">
        <v>6</v>
      </c>
      <c r="C7" s="10" t="s">
        <v>165</v>
      </c>
      <c r="D7" s="10" t="s">
        <v>130</v>
      </c>
      <c r="E7" s="10" t="s">
        <v>20</v>
      </c>
      <c r="F7" s="10">
        <v>35</v>
      </c>
      <c r="G7" s="9" t="s">
        <v>94</v>
      </c>
      <c r="H7" s="9" t="s">
        <v>7</v>
      </c>
      <c r="I7" s="9" t="s">
        <v>104</v>
      </c>
      <c r="J7" s="10" t="s">
        <v>96</v>
      </c>
      <c r="K7" s="10">
        <v>100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3" t="str">
        <f>HYPERLINK("abstracts\ci0000009724.rtf","CI0000009724")</f>
        <v>CI0000009724</v>
      </c>
      <c r="R7" s="18" t="str">
        <f>HYPERLINK("/assets/documents/TissueScan/abstracts/"&amp;Q7&amp;".rtf",Q7)</f>
        <v>CI0000009724</v>
      </c>
      <c r="S7" s="13" t="str">
        <f>HYPERLINK("images\ci0000009724.1.4x.jpg","CI0000009724.1.4X")</f>
        <v>CI0000009724.1.4X</v>
      </c>
      <c r="T7" s="15" t="str">
        <f t="shared" si="0"/>
        <v>CI0000009724.1.4X</v>
      </c>
      <c r="U7" s="13" t="str">
        <f>HYPERLINK("images\ci0000009724.1.20x.jpg","CI0000009724.1.20X")</f>
        <v>CI0000009724.1.20X</v>
      </c>
      <c r="V7" s="15" t="str">
        <f t="shared" si="1"/>
        <v>CI0000009724.1.20X</v>
      </c>
      <c r="W7" s="13" t="str">
        <f>HYPERLINK("images\ci0000009724.1.b703.jpg","CI0000009724.1.B703")</f>
        <v>CI0000009724.1.B703</v>
      </c>
      <c r="X7" s="15" t="str">
        <f t="shared" si="2"/>
        <v>CI0000009724.1.B703</v>
      </c>
      <c r="Y7" s="14">
        <v>1.5499999523162842</v>
      </c>
      <c r="Z7" s="13" t="str">
        <f>HYPERLINK("images\ci0000009724.1.r362.jpg","CI0000009724.1.R362")</f>
        <v>CI0000009724.1.R362</v>
      </c>
      <c r="AA7" s="15" t="str">
        <f t="shared" si="3"/>
        <v>CI0000009724.1.R362</v>
      </c>
      <c r="AB7" s="9" t="s">
        <v>96</v>
      </c>
      <c r="AC7" s="9" t="s">
        <v>105</v>
      </c>
      <c r="AD7" s="5"/>
      <c r="AE7" s="9"/>
      <c r="AF7" s="10"/>
      <c r="AG7" s="11"/>
      <c r="AH7" s="11"/>
      <c r="AI7" s="12"/>
      <c r="AJ7" s="9"/>
      <c r="AK7" s="9"/>
      <c r="AL7" s="9"/>
    </row>
    <row r="8" spans="1:38" ht="12.75">
      <c r="A8" s="6" t="s">
        <v>208</v>
      </c>
      <c r="B8" s="16">
        <v>7</v>
      </c>
      <c r="C8" s="10" t="s">
        <v>166</v>
      </c>
      <c r="D8" s="10" t="s">
        <v>132</v>
      </c>
      <c r="E8" s="10" t="s">
        <v>20</v>
      </c>
      <c r="F8" s="10">
        <v>37</v>
      </c>
      <c r="G8" s="9" t="s">
        <v>94</v>
      </c>
      <c r="H8" s="9" t="s">
        <v>7</v>
      </c>
      <c r="I8" s="9" t="s">
        <v>101</v>
      </c>
      <c r="J8" s="10"/>
      <c r="K8" s="10">
        <v>100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3" t="str">
        <f>HYPERLINK("abstracts\ci0000009943.rtf","CI0000009943")</f>
        <v>CI0000009943</v>
      </c>
      <c r="R8" s="18" t="str">
        <f>HYPERLINK("/assets/documents/TissueScan/abstracts/"&amp;Q8&amp;".rtf",Q8)</f>
        <v>CI0000009943</v>
      </c>
      <c r="S8" s="13" t="str">
        <f>HYPERLINK("images\ci0000009943.1.4x.jpg","CI0000009943.1.4X")</f>
        <v>CI0000009943.1.4X</v>
      </c>
      <c r="T8" s="15" t="str">
        <f t="shared" si="0"/>
        <v>CI0000009943.1.4X</v>
      </c>
      <c r="U8" s="13" t="str">
        <f>HYPERLINK("images\ci0000009943.1.20x.jpg","CI0000009943.1.20X")</f>
        <v>CI0000009943.1.20X</v>
      </c>
      <c r="V8" s="15" t="str">
        <f t="shared" si="1"/>
        <v>CI0000009943.1.20X</v>
      </c>
      <c r="W8" s="13" t="str">
        <f>HYPERLINK("images\ci0000009943.1.b703.jpg","CI0000009943.1.B703")</f>
        <v>CI0000009943.1.B703</v>
      </c>
      <c r="X8" s="15" t="str">
        <f t="shared" si="2"/>
        <v>CI0000009943.1.B703</v>
      </c>
      <c r="Y8" s="14">
        <v>1.5700000524520874</v>
      </c>
      <c r="Z8" s="13" t="str">
        <f>HYPERLINK("images\ci0000009943.1.r362.jpg","CI0000009943.1.R362")</f>
        <v>CI0000009943.1.R362</v>
      </c>
      <c r="AA8" s="15" t="str">
        <f t="shared" si="3"/>
        <v>CI0000009943.1.R362</v>
      </c>
      <c r="AB8" s="9" t="s">
        <v>96</v>
      </c>
      <c r="AC8" s="9" t="s">
        <v>106</v>
      </c>
      <c r="AD8" s="5"/>
      <c r="AE8" s="9"/>
      <c r="AF8" s="10"/>
      <c r="AG8" s="11"/>
      <c r="AH8" s="11"/>
      <c r="AI8" s="12"/>
      <c r="AJ8" s="9"/>
      <c r="AK8" s="9"/>
      <c r="AL8" s="9"/>
    </row>
    <row r="9" spans="1:38" ht="12.75">
      <c r="A9" s="6" t="s">
        <v>208</v>
      </c>
      <c r="B9" s="16">
        <v>8</v>
      </c>
      <c r="C9" s="10" t="s">
        <v>167</v>
      </c>
      <c r="D9" s="10" t="s">
        <v>133</v>
      </c>
      <c r="E9" s="10" t="s">
        <v>20</v>
      </c>
      <c r="F9" s="10">
        <v>48</v>
      </c>
      <c r="G9" s="9" t="s">
        <v>94</v>
      </c>
      <c r="H9" s="9" t="s">
        <v>7</v>
      </c>
      <c r="I9" s="9" t="s">
        <v>95</v>
      </c>
      <c r="J9" s="10" t="s">
        <v>96</v>
      </c>
      <c r="K9" s="10">
        <v>100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3" t="str">
        <f>HYPERLINK("abstracts\ci0000010064.rtf","CI0000010064")</f>
        <v>CI0000010064</v>
      </c>
      <c r="R9" s="18" t="str">
        <f>HYPERLINK("/assets/documents/TissueScan/abstracts/"&amp;Q9&amp;".rtf",Q9)</f>
        <v>CI0000010064</v>
      </c>
      <c r="S9" s="13" t="str">
        <f>HYPERLINK("images\ci0000010064.1.4x.jpg","CI0000010064.1.4X")</f>
        <v>CI0000010064.1.4X</v>
      </c>
      <c r="T9" s="15" t="str">
        <f t="shared" si="0"/>
        <v>CI0000010064.1.4X</v>
      </c>
      <c r="U9" s="13" t="str">
        <f>HYPERLINK("images\ci0000010064.1.20x.jpg","CI0000010064.1.20X")</f>
        <v>CI0000010064.1.20X</v>
      </c>
      <c r="V9" s="15" t="str">
        <f t="shared" si="1"/>
        <v>CI0000010064.1.20X</v>
      </c>
      <c r="W9" s="13" t="str">
        <f>HYPERLINK("images\ci0000010064.1.b703.jpg","CI0000010064.1.B703")</f>
        <v>CI0000010064.1.B703</v>
      </c>
      <c r="X9" s="15" t="str">
        <f t="shared" si="2"/>
        <v>CI0000010064.1.B703</v>
      </c>
      <c r="Y9" s="14">
        <v>1.5</v>
      </c>
      <c r="Z9" s="13" t="str">
        <f>HYPERLINK("images\ci0000010064.1.r362.jpg","CI0000010064.1.R362")</f>
        <v>CI0000010064.1.R362</v>
      </c>
      <c r="AA9" s="15" t="str">
        <f t="shared" si="3"/>
        <v>CI0000010064.1.R362</v>
      </c>
      <c r="AB9" s="9" t="s">
        <v>96</v>
      </c>
      <c r="AC9" s="9" t="s">
        <v>107</v>
      </c>
      <c r="AD9" s="5"/>
      <c r="AE9" s="9"/>
      <c r="AF9" s="10"/>
      <c r="AG9" s="11"/>
      <c r="AH9" s="11"/>
      <c r="AI9" s="12"/>
      <c r="AJ9" s="9"/>
      <c r="AK9" s="9"/>
      <c r="AL9" s="9"/>
    </row>
    <row r="10" spans="1:38" ht="12.75">
      <c r="A10" s="6" t="s">
        <v>208</v>
      </c>
      <c r="B10" s="16">
        <v>9</v>
      </c>
      <c r="C10" s="10" t="s">
        <v>168</v>
      </c>
      <c r="D10" s="10" t="s">
        <v>116</v>
      </c>
      <c r="E10" s="10" t="s">
        <v>20</v>
      </c>
      <c r="F10" s="10">
        <v>56</v>
      </c>
      <c r="G10" s="9" t="s">
        <v>21</v>
      </c>
      <c r="H10" s="9" t="s">
        <v>9</v>
      </c>
      <c r="I10" s="9" t="s">
        <v>22</v>
      </c>
      <c r="J10" s="10" t="s">
        <v>24</v>
      </c>
      <c r="K10" s="10">
        <v>0</v>
      </c>
      <c r="L10" s="10">
        <v>0</v>
      </c>
      <c r="M10" s="10">
        <v>85</v>
      </c>
      <c r="N10" s="10">
        <v>10</v>
      </c>
      <c r="O10" s="10">
        <v>0</v>
      </c>
      <c r="P10" s="10">
        <v>5</v>
      </c>
      <c r="Q10" s="13" t="str">
        <f>HYPERLINK("abstracts\cu0000000493.rtf","CU0000000493")</f>
        <v>CU0000000493</v>
      </c>
      <c r="R10" s="18" t="str">
        <f>HYPERLINK("/assets/documents/TissueScan/abstracts/"&amp;Q10&amp;".rtf",Q10)</f>
        <v>CU0000000493</v>
      </c>
      <c r="S10" s="13" t="str">
        <f>HYPERLINK("images\cu0000000493.3.4x.jpg","CU0000000493.3.4X")</f>
        <v>CU0000000493.3.4X</v>
      </c>
      <c r="T10" s="15" t="str">
        <f t="shared" si="0"/>
        <v>CU0000000493.3.4X</v>
      </c>
      <c r="U10" s="13" t="str">
        <f>HYPERLINK("images\cu0000000493.3.20x.jpg","CU0000000493.3.20X")</f>
        <v>CU0000000493.3.20X</v>
      </c>
      <c r="V10" s="15" t="str">
        <f t="shared" si="1"/>
        <v>CU0000000493.3.20X</v>
      </c>
      <c r="W10" s="13" t="str">
        <f>HYPERLINK("images\cu0000000493.3.b700.jpg","CU0000000493.3.B700")</f>
        <v>CU0000000493.3.B700</v>
      </c>
      <c r="X10" s="15" t="str">
        <f t="shared" si="2"/>
        <v>CU0000000493.3.B700</v>
      </c>
      <c r="Y10" s="14">
        <v>1.4700000286102295</v>
      </c>
      <c r="Z10" s="13" t="str">
        <f>HYPERLINK("images\cu0000000493.3.r359.jpg","CU0000000493.3.R359")</f>
        <v>CU0000000493.3.R359</v>
      </c>
      <c r="AA10" s="15" t="str">
        <f t="shared" si="3"/>
        <v>CU0000000493.3.R359</v>
      </c>
      <c r="AB10" s="9" t="s">
        <v>23</v>
      </c>
      <c r="AC10" s="9"/>
      <c r="AD10" s="5"/>
      <c r="AE10" s="9"/>
      <c r="AF10" s="10"/>
      <c r="AG10" s="11"/>
      <c r="AH10" s="11"/>
      <c r="AI10" s="12"/>
      <c r="AJ10" s="9"/>
      <c r="AK10" s="9"/>
      <c r="AL10" s="9"/>
    </row>
    <row r="11" spans="1:38" ht="12.75">
      <c r="A11" s="6" t="s">
        <v>208</v>
      </c>
      <c r="B11" s="16">
        <v>10</v>
      </c>
      <c r="C11" s="10" t="s">
        <v>169</v>
      </c>
      <c r="D11" s="10" t="s">
        <v>119</v>
      </c>
      <c r="E11" s="10" t="s">
        <v>20</v>
      </c>
      <c r="F11" s="10">
        <v>71</v>
      </c>
      <c r="G11" s="9" t="s">
        <v>21</v>
      </c>
      <c r="H11" s="9" t="s">
        <v>9</v>
      </c>
      <c r="I11" s="9" t="s">
        <v>25</v>
      </c>
      <c r="J11" s="10" t="s">
        <v>24</v>
      </c>
      <c r="K11" s="10">
        <v>0</v>
      </c>
      <c r="L11" s="10">
        <v>0</v>
      </c>
      <c r="M11" s="10">
        <v>80</v>
      </c>
      <c r="N11" s="10">
        <v>10</v>
      </c>
      <c r="O11" s="10">
        <v>0</v>
      </c>
      <c r="P11" s="10">
        <v>10</v>
      </c>
      <c r="Q11" s="13" t="str">
        <f>HYPERLINK("abstracts\cu0000001189.rtf","CU0000001189")</f>
        <v>CU0000001189</v>
      </c>
      <c r="R11" s="18" t="str">
        <f>HYPERLINK("/assets/documents/TissueScan/abstracts/"&amp;Q11&amp;".rtf",Q11)</f>
        <v>CU0000001189</v>
      </c>
      <c r="S11" s="13" t="str">
        <f>HYPERLINK("images\cu0000001189.1.4x.jpg","CU0000001189.1.4X")</f>
        <v>CU0000001189.1.4X</v>
      </c>
      <c r="T11" s="15" t="str">
        <f t="shared" si="0"/>
        <v>CU0000001189.1.4X</v>
      </c>
      <c r="U11" s="13" t="str">
        <f>HYPERLINK("images\cu0000001189.1.20x.jpg","CU0000001189.1.20X")</f>
        <v>CU0000001189.1.20X</v>
      </c>
      <c r="V11" s="15" t="str">
        <f t="shared" si="1"/>
        <v>CU0000001189.1.20X</v>
      </c>
      <c r="W11" s="13" t="str">
        <f>HYPERLINK("images\cu0000001189.1.b700.jpg","CU0000001189.1.B700")</f>
        <v>CU0000001189.1.B700</v>
      </c>
      <c r="X11" s="15" t="str">
        <f t="shared" si="2"/>
        <v>CU0000001189.1.B700</v>
      </c>
      <c r="Y11" s="14">
        <v>1.25</v>
      </c>
      <c r="Z11" s="13" t="str">
        <f>HYPERLINK("images\cu0000001189.1.r359.jpg","CU0000001189.1.R359")</f>
        <v>CU0000001189.1.R359</v>
      </c>
      <c r="AA11" s="15" t="str">
        <f t="shared" si="3"/>
        <v>CU0000001189.1.R359</v>
      </c>
      <c r="AB11" s="9" t="s">
        <v>23</v>
      </c>
      <c r="AC11" s="9" t="s">
        <v>26</v>
      </c>
      <c r="AD11" s="5"/>
      <c r="AE11" s="9"/>
      <c r="AF11" s="10"/>
      <c r="AG11" s="11"/>
      <c r="AH11" s="11"/>
      <c r="AI11" s="12"/>
      <c r="AJ11" s="9"/>
      <c r="AK11" s="9"/>
      <c r="AL11" s="9"/>
    </row>
    <row r="12" spans="1:38" ht="12.75">
      <c r="A12" s="6" t="s">
        <v>208</v>
      </c>
      <c r="B12" s="16">
        <f>B11+1</f>
        <v>11</v>
      </c>
      <c r="C12" s="10" t="s">
        <v>170</v>
      </c>
      <c r="D12" s="10" t="s">
        <v>121</v>
      </c>
      <c r="E12" s="10" t="s">
        <v>20</v>
      </c>
      <c r="F12" s="10">
        <v>66</v>
      </c>
      <c r="G12" s="9" t="s">
        <v>21</v>
      </c>
      <c r="H12" s="9" t="s">
        <v>9</v>
      </c>
      <c r="I12" s="9" t="s">
        <v>27</v>
      </c>
      <c r="J12" s="10" t="s">
        <v>24</v>
      </c>
      <c r="K12" s="10">
        <v>0</v>
      </c>
      <c r="L12" s="10">
        <v>0</v>
      </c>
      <c r="M12" s="10">
        <v>90</v>
      </c>
      <c r="N12" s="10">
        <v>10</v>
      </c>
      <c r="O12" s="10">
        <v>0</v>
      </c>
      <c r="P12" s="10">
        <v>0</v>
      </c>
      <c r="Q12" s="13" t="str">
        <f>HYPERLINK("abstracts\cu0000001681.rtf","CU0000001681")</f>
        <v>CU0000001681</v>
      </c>
      <c r="R12" s="18" t="str">
        <f>HYPERLINK("/assets/documents/TissueScan/abstracts/"&amp;Q12&amp;".rtf",Q12)</f>
        <v>CU0000001681</v>
      </c>
      <c r="S12" s="13" t="str">
        <f>HYPERLINK("images\cu0000001681.1.4x.jpg","CU0000001681.1.4X")</f>
        <v>CU0000001681.1.4X</v>
      </c>
      <c r="T12" s="15" t="str">
        <f t="shared" si="0"/>
        <v>CU0000001681.1.4X</v>
      </c>
      <c r="U12" s="13" t="str">
        <f>HYPERLINK("images\cu0000001681.1.20x.jpg","CU0000001681.1.20X")</f>
        <v>CU0000001681.1.20X</v>
      </c>
      <c r="V12" s="15" t="str">
        <f t="shared" si="1"/>
        <v>CU0000001681.1.20X</v>
      </c>
      <c r="W12" s="13" t="str">
        <f>HYPERLINK("images\cu0000001681.1.b700.jpg","CU0000001681.1.B700")</f>
        <v>CU0000001681.1.B700</v>
      </c>
      <c r="X12" s="15" t="str">
        <f t="shared" si="2"/>
        <v>CU0000001681.1.B700</v>
      </c>
      <c r="Y12" s="14">
        <v>1.440000057220459</v>
      </c>
      <c r="Z12" s="13" t="str">
        <f>HYPERLINK("images\cu0000001681.1.r359.jpg","CU0000001681.1.R359")</f>
        <v>CU0000001681.1.R359</v>
      </c>
      <c r="AA12" s="15" t="str">
        <f t="shared" si="3"/>
        <v>CU0000001681.1.R359</v>
      </c>
      <c r="AB12" s="9" t="s">
        <v>23</v>
      </c>
      <c r="AC12" s="9" t="s">
        <v>28</v>
      </c>
      <c r="AD12" s="5"/>
      <c r="AE12" s="9"/>
      <c r="AF12" s="10"/>
      <c r="AG12" s="11"/>
      <c r="AH12" s="11"/>
      <c r="AI12" s="12"/>
      <c r="AJ12" s="9"/>
      <c r="AK12" s="9"/>
      <c r="AL12" s="9"/>
    </row>
    <row r="13" spans="1:38" ht="12.75">
      <c r="A13" s="6" t="s">
        <v>208</v>
      </c>
      <c r="B13" s="16">
        <f aca="true" t="shared" si="4" ref="B13:B49">B12+1</f>
        <v>12</v>
      </c>
      <c r="C13" s="10" t="s">
        <v>171</v>
      </c>
      <c r="D13" s="10" t="s">
        <v>115</v>
      </c>
      <c r="E13" s="10" t="s">
        <v>20</v>
      </c>
      <c r="F13" s="10">
        <v>55</v>
      </c>
      <c r="G13" s="9" t="s">
        <v>21</v>
      </c>
      <c r="H13" s="9" t="s">
        <v>9</v>
      </c>
      <c r="I13" s="9" t="s">
        <v>29</v>
      </c>
      <c r="J13" s="10" t="s">
        <v>24</v>
      </c>
      <c r="K13" s="10">
        <v>0</v>
      </c>
      <c r="L13" s="10">
        <v>0</v>
      </c>
      <c r="M13" s="10">
        <v>60</v>
      </c>
      <c r="N13" s="10">
        <v>10</v>
      </c>
      <c r="O13" s="10">
        <v>20</v>
      </c>
      <c r="P13" s="10">
        <v>10</v>
      </c>
      <c r="Q13" s="13" t="str">
        <f>HYPERLINK("abstracts\ci0000009804.rtf","CI0000009804")</f>
        <v>CI0000009804</v>
      </c>
      <c r="R13" s="18" t="str">
        <f>HYPERLINK("/assets/documents/TissueScan/abstracts/"&amp;Q13&amp;".rtf",Q13)</f>
        <v>CI0000009804</v>
      </c>
      <c r="S13" s="13" t="str">
        <f>HYPERLINK("images\ci0000009804.1.4x.jpg","CI0000009804.1.4X")</f>
        <v>CI0000009804.1.4X</v>
      </c>
      <c r="T13" s="15" t="str">
        <f t="shared" si="0"/>
        <v>CI0000009804.1.4X</v>
      </c>
      <c r="U13" s="13" t="str">
        <f>HYPERLINK("images\ci0000009804.1.20x.jpg","CI0000009804.1.20X")</f>
        <v>CI0000009804.1.20X</v>
      </c>
      <c r="V13" s="15" t="str">
        <f t="shared" si="1"/>
        <v>CI0000009804.1.20X</v>
      </c>
      <c r="W13" s="13" t="str">
        <f>HYPERLINK("images\ci0000009804.1.b700.jpg","CI0000009804.1.B700")</f>
        <v>CI0000009804.1.B700</v>
      </c>
      <c r="X13" s="15" t="str">
        <f t="shared" si="2"/>
        <v>CI0000009804.1.B700</v>
      </c>
      <c r="Y13" s="14">
        <v>1.309999942779541</v>
      </c>
      <c r="Z13" s="13" t="str">
        <f>HYPERLINK("images\ci0000009804.1.r359.jpg","CI0000009804.1.R359")</f>
        <v>CI0000009804.1.R359</v>
      </c>
      <c r="AA13" s="15" t="str">
        <f t="shared" si="3"/>
        <v>CI0000009804.1.R359</v>
      </c>
      <c r="AB13" s="9" t="s">
        <v>30</v>
      </c>
      <c r="AC13" s="9" t="s">
        <v>31</v>
      </c>
      <c r="AD13" s="5"/>
      <c r="AE13" s="9"/>
      <c r="AF13" s="10"/>
      <c r="AG13" s="11"/>
      <c r="AH13" s="11"/>
      <c r="AI13" s="12"/>
      <c r="AJ13" s="9"/>
      <c r="AK13" s="9"/>
      <c r="AL13" s="9"/>
    </row>
    <row r="14" spans="1:38" ht="12.75">
      <c r="A14" s="6" t="s">
        <v>208</v>
      </c>
      <c r="B14" s="16">
        <f t="shared" si="4"/>
        <v>13</v>
      </c>
      <c r="C14" s="10" t="s">
        <v>172</v>
      </c>
      <c r="D14" s="10" t="s">
        <v>113</v>
      </c>
      <c r="E14" s="10" t="s">
        <v>20</v>
      </c>
      <c r="F14" s="10">
        <v>79</v>
      </c>
      <c r="G14" s="9" t="s">
        <v>21</v>
      </c>
      <c r="H14" s="9" t="s">
        <v>9</v>
      </c>
      <c r="I14" s="9" t="s">
        <v>33</v>
      </c>
      <c r="J14" s="10" t="s">
        <v>35</v>
      </c>
      <c r="K14" s="10">
        <v>40</v>
      </c>
      <c r="L14" s="10">
        <v>0</v>
      </c>
      <c r="M14" s="10">
        <v>50</v>
      </c>
      <c r="N14" s="10">
        <v>10</v>
      </c>
      <c r="O14" s="10">
        <v>0</v>
      </c>
      <c r="P14" s="10">
        <v>0</v>
      </c>
      <c r="Q14" s="13" t="str">
        <f>HYPERLINK("abstracts\ci0000007125.rtf","CI0000007125")</f>
        <v>CI0000007125</v>
      </c>
      <c r="R14" s="18" t="str">
        <f>HYPERLINK("/assets/documents/TissueScan/abstracts/"&amp;Q14&amp;".rtf",Q14)</f>
        <v>CI0000007125</v>
      </c>
      <c r="S14" s="13" t="str">
        <f>HYPERLINK("images\ci0000007125.1.4x.jpg","CI0000007125.1.4X")</f>
        <v>CI0000007125.1.4X</v>
      </c>
      <c r="T14" s="15" t="str">
        <f t="shared" si="0"/>
        <v>CI0000007125.1.4X</v>
      </c>
      <c r="U14" s="13" t="str">
        <f>HYPERLINK("images\ci0000007125.1.20x.jpg","CI0000007125.1.20X")</f>
        <v>CI0000007125.1.20X</v>
      </c>
      <c r="V14" s="15" t="str">
        <f t="shared" si="1"/>
        <v>CI0000007125.1.20X</v>
      </c>
      <c r="W14" s="13" t="str">
        <f>HYPERLINK("images\ci0000007125.1.b700.jpg","CI0000007125.1.B700")</f>
        <v>CI0000007125.1.B700</v>
      </c>
      <c r="X14" s="15" t="str">
        <f t="shared" si="2"/>
        <v>CI0000007125.1.B700</v>
      </c>
      <c r="Y14" s="14">
        <v>1.6100000143051147</v>
      </c>
      <c r="Z14" s="13" t="str">
        <f>HYPERLINK("images\ci0000007125.1.r359.jpg","CI0000007125.1.R359")</f>
        <v>CI0000007125.1.R359</v>
      </c>
      <c r="AA14" s="15" t="str">
        <f t="shared" si="3"/>
        <v>CI0000007125.1.R359</v>
      </c>
      <c r="AB14" s="9" t="s">
        <v>34</v>
      </c>
      <c r="AC14" s="9" t="s">
        <v>36</v>
      </c>
      <c r="AD14" s="5"/>
      <c r="AE14" s="9"/>
      <c r="AF14" s="10"/>
      <c r="AG14" s="11"/>
      <c r="AH14" s="11"/>
      <c r="AI14" s="12"/>
      <c r="AJ14" s="9"/>
      <c r="AK14" s="9"/>
      <c r="AL14" s="9"/>
    </row>
    <row r="15" spans="1:38" ht="12.75">
      <c r="A15" s="6" t="s">
        <v>208</v>
      </c>
      <c r="B15" s="16">
        <f t="shared" si="4"/>
        <v>14</v>
      </c>
      <c r="C15" s="10" t="s">
        <v>173</v>
      </c>
      <c r="D15" s="10" t="s">
        <v>118</v>
      </c>
      <c r="E15" s="10" t="s">
        <v>20</v>
      </c>
      <c r="F15" s="10">
        <v>86</v>
      </c>
      <c r="G15" s="9" t="s">
        <v>37</v>
      </c>
      <c r="H15" s="9" t="s">
        <v>9</v>
      </c>
      <c r="I15" s="9" t="s">
        <v>25</v>
      </c>
      <c r="J15" s="10" t="s">
        <v>35</v>
      </c>
      <c r="K15" s="10">
        <v>0</v>
      </c>
      <c r="L15" s="10">
        <v>0</v>
      </c>
      <c r="M15" s="10">
        <v>85</v>
      </c>
      <c r="N15" s="10">
        <v>10</v>
      </c>
      <c r="O15" s="10">
        <v>0</v>
      </c>
      <c r="P15" s="10">
        <v>5</v>
      </c>
      <c r="Q15" s="13" t="str">
        <f>HYPERLINK("abstracts\cu0000001173.rtf","CU0000001173")</f>
        <v>CU0000001173</v>
      </c>
      <c r="R15" s="18" t="str">
        <f>HYPERLINK("/assets/documents/TissueScan/abstracts/"&amp;Q15&amp;".rtf",Q15)</f>
        <v>CU0000001173</v>
      </c>
      <c r="S15" s="13" t="str">
        <f>HYPERLINK("images\cu0000001173.2.4x.jpg","CU0000001173.2.4X")</f>
        <v>CU0000001173.2.4X</v>
      </c>
      <c r="T15" s="15" t="str">
        <f t="shared" si="0"/>
        <v>CU0000001173.2.4X</v>
      </c>
      <c r="U15" s="13" t="str">
        <f>HYPERLINK("images\cu0000001173.2.20x.jpg","CU0000001173.2.20X")</f>
        <v>CU0000001173.2.20X</v>
      </c>
      <c r="V15" s="15" t="str">
        <f t="shared" si="1"/>
        <v>CU0000001173.2.20X</v>
      </c>
      <c r="W15" s="13" t="str">
        <f>HYPERLINK("images\cu0000001173.2.b700.jpg","CU0000001173.2.B700")</f>
        <v>CU0000001173.2.B700</v>
      </c>
      <c r="X15" s="15" t="str">
        <f t="shared" si="2"/>
        <v>CU0000001173.2.B700</v>
      </c>
      <c r="Y15" s="14">
        <v>1.4800000190734863</v>
      </c>
      <c r="Z15" s="13" t="str">
        <f>HYPERLINK("images\cu0000001173.2.r359.jpg","CU0000001173.2.R359")</f>
        <v>CU0000001173.2.R359</v>
      </c>
      <c r="AA15" s="15" t="str">
        <f t="shared" si="3"/>
        <v>CU0000001173.2.R359</v>
      </c>
      <c r="AB15" s="9" t="s">
        <v>34</v>
      </c>
      <c r="AC15" s="9"/>
      <c r="AD15" s="5"/>
      <c r="AE15" s="9"/>
      <c r="AF15" s="10"/>
      <c r="AG15" s="11"/>
      <c r="AH15" s="11"/>
      <c r="AI15" s="12"/>
      <c r="AJ15" s="9"/>
      <c r="AK15" s="9"/>
      <c r="AL15" s="9"/>
    </row>
    <row r="16" spans="1:38" ht="12.75">
      <c r="A16" s="6" t="s">
        <v>208</v>
      </c>
      <c r="B16" s="16">
        <f t="shared" si="4"/>
        <v>15</v>
      </c>
      <c r="C16" s="10" t="s">
        <v>174</v>
      </c>
      <c r="D16" s="10" t="s">
        <v>124</v>
      </c>
      <c r="E16" s="10" t="s">
        <v>20</v>
      </c>
      <c r="F16" s="10">
        <v>48</v>
      </c>
      <c r="G16" s="9" t="s">
        <v>37</v>
      </c>
      <c r="H16" s="9" t="s">
        <v>9</v>
      </c>
      <c r="I16" s="9" t="s">
        <v>22</v>
      </c>
      <c r="J16" s="10" t="s">
        <v>35</v>
      </c>
      <c r="K16" s="10">
        <v>0</v>
      </c>
      <c r="L16" s="10">
        <v>0</v>
      </c>
      <c r="M16" s="10">
        <v>80</v>
      </c>
      <c r="N16" s="10">
        <v>15</v>
      </c>
      <c r="O16" s="10">
        <v>0</v>
      </c>
      <c r="P16" s="10">
        <v>5</v>
      </c>
      <c r="Q16" s="13" t="str">
        <f>HYPERLINK("abstracts\cu0000005224.rtf","CU0000005224")</f>
        <v>CU0000005224</v>
      </c>
      <c r="R16" s="18" t="str">
        <f>HYPERLINK("/assets/documents/TissueScan/abstracts/"&amp;Q16&amp;".rtf",Q16)</f>
        <v>CU0000005224</v>
      </c>
      <c r="S16" s="13" t="str">
        <f>HYPERLINK("images\cu0000005224.1.4x.jpg","CU0000005224.1.4X")</f>
        <v>CU0000005224.1.4X</v>
      </c>
      <c r="T16" s="15" t="str">
        <f t="shared" si="0"/>
        <v>CU0000005224.1.4X</v>
      </c>
      <c r="U16" s="13" t="str">
        <f>HYPERLINK("images\cu0000005224.1.20x.jpg","CU0000005224.1.20X")</f>
        <v>CU0000005224.1.20X</v>
      </c>
      <c r="V16" s="15" t="str">
        <f t="shared" si="1"/>
        <v>CU0000005224.1.20X</v>
      </c>
      <c r="W16" s="13" t="str">
        <f>HYPERLINK("images\cu0000005224.1.b700.jpg","CU0000005224.1.B700")</f>
        <v>CU0000005224.1.B700</v>
      </c>
      <c r="X16" s="15" t="str">
        <f t="shared" si="2"/>
        <v>CU0000005224.1.B700</v>
      </c>
      <c r="Y16" s="14">
        <v>1.3700000047683716</v>
      </c>
      <c r="Z16" s="13" t="str">
        <f>HYPERLINK("images\cu0000005224.1.r359.jpg","CU0000005224.1.R359")</f>
        <v>CU0000005224.1.R359</v>
      </c>
      <c r="AA16" s="15" t="str">
        <f t="shared" si="3"/>
        <v>CU0000005224.1.R359</v>
      </c>
      <c r="AB16" s="9" t="s">
        <v>34</v>
      </c>
      <c r="AC16" s="9"/>
      <c r="AD16" s="5"/>
      <c r="AE16" s="9"/>
      <c r="AF16" s="10"/>
      <c r="AG16" s="11"/>
      <c r="AH16" s="11"/>
      <c r="AI16" s="12"/>
      <c r="AJ16" s="9"/>
      <c r="AK16" s="9"/>
      <c r="AL16" s="9"/>
    </row>
    <row r="17" spans="1:38" ht="12.75">
      <c r="A17" s="6" t="s">
        <v>208</v>
      </c>
      <c r="B17" s="16">
        <f t="shared" si="4"/>
        <v>16</v>
      </c>
      <c r="C17" s="10" t="s">
        <v>175</v>
      </c>
      <c r="D17" s="10" t="s">
        <v>126</v>
      </c>
      <c r="E17" s="10" t="s">
        <v>20</v>
      </c>
      <c r="F17" s="10">
        <v>70</v>
      </c>
      <c r="G17" s="9" t="s">
        <v>37</v>
      </c>
      <c r="H17" s="9" t="s">
        <v>9</v>
      </c>
      <c r="I17" s="9" t="s">
        <v>39</v>
      </c>
      <c r="J17" s="10" t="s">
        <v>35</v>
      </c>
      <c r="K17" s="10">
        <v>0</v>
      </c>
      <c r="L17" s="10">
        <v>0</v>
      </c>
      <c r="M17" s="10">
        <v>90</v>
      </c>
      <c r="N17" s="10">
        <v>9</v>
      </c>
      <c r="O17" s="10">
        <v>0</v>
      </c>
      <c r="P17" s="10">
        <v>1</v>
      </c>
      <c r="Q17" s="13" t="str">
        <f>HYPERLINK("abstracts\cu0000005619.rtf","CU0000005619")</f>
        <v>CU0000005619</v>
      </c>
      <c r="R17" s="18" t="str">
        <f>HYPERLINK("/assets/documents/TissueScan/abstracts/"&amp;Q17&amp;".rtf",Q17)</f>
        <v>CU0000005619</v>
      </c>
      <c r="S17" s="13" t="str">
        <f>HYPERLINK("images\cu0000005619.3.4x.jpg","CU0000005619.3.4X")</f>
        <v>CU0000005619.3.4X</v>
      </c>
      <c r="T17" s="15" t="str">
        <f t="shared" si="0"/>
        <v>CU0000005619.3.4X</v>
      </c>
      <c r="U17" s="13" t="str">
        <f>HYPERLINK("images\cu0000005619.3.20x.jpg","CU0000005619.3.20X")</f>
        <v>CU0000005619.3.20X</v>
      </c>
      <c r="V17" s="15" t="str">
        <f t="shared" si="1"/>
        <v>CU0000005619.3.20X</v>
      </c>
      <c r="W17" s="13" t="str">
        <f>HYPERLINK("images\cu0000005619.3.b700.jpg","CU0000005619.3.B700")</f>
        <v>CU0000005619.3.B700</v>
      </c>
      <c r="X17" s="15" t="str">
        <f t="shared" si="2"/>
        <v>CU0000005619.3.B700</v>
      </c>
      <c r="Y17" s="14">
        <v>1.2300000190734863</v>
      </c>
      <c r="Z17" s="13" t="str">
        <f>HYPERLINK("images\cu0000005619.3.r359.jpg","CU0000005619.3.R359")</f>
        <v>CU0000005619.3.R359</v>
      </c>
      <c r="AA17" s="15" t="str">
        <f t="shared" si="3"/>
        <v>CU0000005619.3.R359</v>
      </c>
      <c r="AB17" s="9" t="s">
        <v>34</v>
      </c>
      <c r="AC17" s="9"/>
      <c r="AD17" s="5"/>
      <c r="AE17" s="9"/>
      <c r="AF17" s="10"/>
      <c r="AG17" s="11"/>
      <c r="AH17" s="11"/>
      <c r="AI17" s="12"/>
      <c r="AJ17" s="9"/>
      <c r="AK17" s="9"/>
      <c r="AL17" s="9"/>
    </row>
    <row r="18" spans="1:38" ht="12.75">
      <c r="A18" s="6" t="s">
        <v>208</v>
      </c>
      <c r="B18" s="16">
        <f t="shared" si="4"/>
        <v>17</v>
      </c>
      <c r="C18" s="10" t="s">
        <v>176</v>
      </c>
      <c r="D18" s="10" t="s">
        <v>111</v>
      </c>
      <c r="E18" s="10" t="s">
        <v>20</v>
      </c>
      <c r="F18" s="10">
        <v>64</v>
      </c>
      <c r="G18" s="9" t="s">
        <v>37</v>
      </c>
      <c r="H18" s="9" t="s">
        <v>9</v>
      </c>
      <c r="I18" s="9" t="s">
        <v>22</v>
      </c>
      <c r="J18" s="10" t="s">
        <v>41</v>
      </c>
      <c r="K18" s="10">
        <v>0</v>
      </c>
      <c r="L18" s="10">
        <v>0</v>
      </c>
      <c r="M18" s="10">
        <v>90</v>
      </c>
      <c r="N18" s="10">
        <v>10</v>
      </c>
      <c r="O18" s="10">
        <v>0</v>
      </c>
      <c r="P18" s="10">
        <v>0</v>
      </c>
      <c r="Q18" s="13" t="str">
        <f>HYPERLINK("abstracts\ci0000000012.rtf","CI0000000012")</f>
        <v>CI0000000012</v>
      </c>
      <c r="R18" s="18" t="str">
        <f>HYPERLINK("/assets/documents/TissueScan/abstracts/"&amp;Q18&amp;".rtf",Q18)</f>
        <v>CI0000000012</v>
      </c>
      <c r="S18" s="13" t="str">
        <f>HYPERLINK("images\ci0000000012.3.4x.jpg","CI0000000012.3.4X")</f>
        <v>CI0000000012.3.4X</v>
      </c>
      <c r="T18" s="15" t="str">
        <f t="shared" si="0"/>
        <v>CI0000000012.3.4X</v>
      </c>
      <c r="U18" s="13" t="str">
        <f>HYPERLINK("images\ci0000000012.3.20x.jpg","CI0000000012.3.20X")</f>
        <v>CI0000000012.3.20X</v>
      </c>
      <c r="V18" s="15" t="str">
        <f t="shared" si="1"/>
        <v>CI0000000012.3.20X</v>
      </c>
      <c r="W18" s="13" t="str">
        <f>HYPERLINK("images\ci0000000012.3.b700.jpg","CI0000000012.3.B700")</f>
        <v>CI0000000012.3.B700</v>
      </c>
      <c r="X18" s="15" t="str">
        <f t="shared" si="2"/>
        <v>CI0000000012.3.B700</v>
      </c>
      <c r="Y18" s="14">
        <v>1.3200000524520874</v>
      </c>
      <c r="Z18" s="13" t="str">
        <f>HYPERLINK("images\ci0000000012.3.r359.jpg","CI0000000012.3.R359")</f>
        <v>CI0000000012.3.R359</v>
      </c>
      <c r="AA18" s="15" t="str">
        <f t="shared" si="3"/>
        <v>CI0000000012.3.R359</v>
      </c>
      <c r="AB18" s="9" t="s">
        <v>40</v>
      </c>
      <c r="AC18" s="9"/>
      <c r="AD18" s="5"/>
      <c r="AE18" s="9"/>
      <c r="AF18" s="10"/>
      <c r="AG18" s="11"/>
      <c r="AH18" s="11"/>
      <c r="AI18" s="12"/>
      <c r="AJ18" s="9"/>
      <c r="AK18" s="9"/>
      <c r="AL18" s="9"/>
    </row>
    <row r="19" spans="1:38" ht="12.75">
      <c r="A19" s="6" t="s">
        <v>208</v>
      </c>
      <c r="B19" s="16">
        <f t="shared" si="4"/>
        <v>18</v>
      </c>
      <c r="C19" s="10" t="s">
        <v>177</v>
      </c>
      <c r="D19" s="10" t="s">
        <v>114</v>
      </c>
      <c r="E19" s="10" t="s">
        <v>20</v>
      </c>
      <c r="F19" s="10">
        <v>64</v>
      </c>
      <c r="G19" s="9" t="s">
        <v>21</v>
      </c>
      <c r="H19" s="9" t="s">
        <v>9</v>
      </c>
      <c r="I19" s="9" t="s">
        <v>25</v>
      </c>
      <c r="J19" s="10" t="s">
        <v>41</v>
      </c>
      <c r="K19" s="10">
        <v>0</v>
      </c>
      <c r="L19" s="10">
        <v>0</v>
      </c>
      <c r="M19" s="10">
        <v>65</v>
      </c>
      <c r="N19" s="10">
        <v>5</v>
      </c>
      <c r="O19" s="10">
        <v>5</v>
      </c>
      <c r="P19" s="10">
        <v>25</v>
      </c>
      <c r="Q19" s="13" t="str">
        <f>HYPERLINK("abstracts\ci0000008115.rtf","CI0000008115")</f>
        <v>CI0000008115</v>
      </c>
      <c r="R19" s="18" t="str">
        <f>HYPERLINK("/assets/documents/TissueScan/abstracts/"&amp;Q19&amp;".rtf",Q19)</f>
        <v>CI0000008115</v>
      </c>
      <c r="S19" s="13" t="str">
        <f>HYPERLINK("images\ci0000008115.1.4x.jpg","CI0000008115.1.4X")</f>
        <v>CI0000008115.1.4X</v>
      </c>
      <c r="T19" s="15" t="str">
        <f t="shared" si="0"/>
        <v>CI0000008115.1.4X</v>
      </c>
      <c r="U19" s="13" t="str">
        <f>HYPERLINK("images\ci0000008115.1.20x.jpg","CI0000008115.1.20X")</f>
        <v>CI0000008115.1.20X</v>
      </c>
      <c r="V19" s="15" t="str">
        <f t="shared" si="1"/>
        <v>CI0000008115.1.20X</v>
      </c>
      <c r="W19" s="13" t="str">
        <f>HYPERLINK("images\ci0000008115.1.b700.jpg","CI0000008115.1.B700")</f>
        <v>CI0000008115.1.B700</v>
      </c>
      <c r="X19" s="15" t="str">
        <f t="shared" si="2"/>
        <v>CI0000008115.1.B700</v>
      </c>
      <c r="Y19" s="14">
        <v>1.5199999809265137</v>
      </c>
      <c r="Z19" s="13" t="str">
        <f>HYPERLINK("images\ci0000008115.1.r359.jpg","CI0000008115.1.R359")</f>
        <v>CI0000008115.1.R359</v>
      </c>
      <c r="AA19" s="15" t="str">
        <f t="shared" si="3"/>
        <v>CI0000008115.1.R359</v>
      </c>
      <c r="AB19" s="9" t="s">
        <v>40</v>
      </c>
      <c r="AC19" s="9"/>
      <c r="AD19" s="5"/>
      <c r="AE19" s="9"/>
      <c r="AF19" s="10"/>
      <c r="AG19" s="11"/>
      <c r="AH19" s="11"/>
      <c r="AI19" s="12"/>
      <c r="AJ19" s="9"/>
      <c r="AK19" s="9"/>
      <c r="AL19" s="9"/>
    </row>
    <row r="20" spans="1:38" ht="12.75">
      <c r="A20" s="6" t="s">
        <v>208</v>
      </c>
      <c r="B20" s="16">
        <f t="shared" si="4"/>
        <v>19</v>
      </c>
      <c r="C20" s="10" t="s">
        <v>178</v>
      </c>
      <c r="D20" s="10" t="s">
        <v>120</v>
      </c>
      <c r="E20" s="10" t="s">
        <v>20</v>
      </c>
      <c r="F20" s="10">
        <v>56</v>
      </c>
      <c r="G20" s="9" t="s">
        <v>37</v>
      </c>
      <c r="H20" s="9" t="s">
        <v>9</v>
      </c>
      <c r="I20" s="9" t="s">
        <v>25</v>
      </c>
      <c r="J20" s="10" t="s">
        <v>41</v>
      </c>
      <c r="K20" s="10">
        <v>0</v>
      </c>
      <c r="L20" s="10">
        <v>0</v>
      </c>
      <c r="M20" s="10">
        <v>90</v>
      </c>
      <c r="N20" s="10">
        <v>0</v>
      </c>
      <c r="O20" s="10">
        <v>10</v>
      </c>
      <c r="P20" s="10">
        <v>0</v>
      </c>
      <c r="Q20" s="13" t="str">
        <f>HYPERLINK("abstracts\cu0000001485.rtf","CU0000001485")</f>
        <v>CU0000001485</v>
      </c>
      <c r="R20" s="18" t="str">
        <f>HYPERLINK("/assets/documents/TissueScan/abstracts/"&amp;Q20&amp;".rtf",Q20)</f>
        <v>CU0000001485</v>
      </c>
      <c r="S20" s="13" t="str">
        <f>HYPERLINK("images\cu0000001485.1.4x.jpg","CU0000001485.1.4X")</f>
        <v>CU0000001485.1.4X</v>
      </c>
      <c r="T20" s="15" t="str">
        <f t="shared" si="0"/>
        <v>CU0000001485.1.4X</v>
      </c>
      <c r="U20" s="13" t="str">
        <f>HYPERLINK("images\cu0000001485.1.20x.jpg","CU0000001485.1.20X")</f>
        <v>CU0000001485.1.20X</v>
      </c>
      <c r="V20" s="15" t="str">
        <f t="shared" si="1"/>
        <v>CU0000001485.1.20X</v>
      </c>
      <c r="W20" s="13" t="str">
        <f>HYPERLINK("images\cu0000001485.1.b700.jpg","CU0000001485.1.B700")</f>
        <v>CU0000001485.1.B700</v>
      </c>
      <c r="X20" s="15" t="str">
        <f t="shared" si="2"/>
        <v>CU0000001485.1.B700</v>
      </c>
      <c r="Y20" s="14">
        <v>1.559999942779541</v>
      </c>
      <c r="Z20" s="13" t="str">
        <f>HYPERLINK("images\cu0000001485.1.r359.jpg","CU0000001485.1.R359")</f>
        <v>CU0000001485.1.R359</v>
      </c>
      <c r="AA20" s="15" t="str">
        <f t="shared" si="3"/>
        <v>CU0000001485.1.R359</v>
      </c>
      <c r="AB20" s="9" t="s">
        <v>40</v>
      </c>
      <c r="AC20" s="9" t="s">
        <v>42</v>
      </c>
      <c r="AD20" s="5"/>
      <c r="AE20" s="9"/>
      <c r="AF20" s="10"/>
      <c r="AG20" s="11"/>
      <c r="AH20" s="11"/>
      <c r="AI20" s="12"/>
      <c r="AJ20" s="9"/>
      <c r="AK20" s="9"/>
      <c r="AL20" s="9"/>
    </row>
    <row r="21" spans="1:38" ht="12.75">
      <c r="A21" s="6" t="s">
        <v>208</v>
      </c>
      <c r="B21" s="16">
        <f t="shared" si="4"/>
        <v>20</v>
      </c>
      <c r="C21" s="10" t="s">
        <v>179</v>
      </c>
      <c r="D21" s="10" t="s">
        <v>123</v>
      </c>
      <c r="E21" s="10" t="s">
        <v>20</v>
      </c>
      <c r="F21" s="10">
        <v>56</v>
      </c>
      <c r="G21" s="9" t="s">
        <v>37</v>
      </c>
      <c r="H21" s="9" t="s">
        <v>9</v>
      </c>
      <c r="I21" s="9" t="s">
        <v>25</v>
      </c>
      <c r="J21" s="10" t="s">
        <v>41</v>
      </c>
      <c r="K21" s="10">
        <v>0</v>
      </c>
      <c r="L21" s="10">
        <v>0</v>
      </c>
      <c r="M21" s="10">
        <v>70</v>
      </c>
      <c r="N21" s="10">
        <v>30</v>
      </c>
      <c r="O21" s="10">
        <v>0</v>
      </c>
      <c r="P21" s="10">
        <v>0</v>
      </c>
      <c r="Q21" s="13" t="str">
        <f>HYPERLINK("abstracts\cu0000005034.rtf","CU0000005034")</f>
        <v>CU0000005034</v>
      </c>
      <c r="R21" s="18" t="str">
        <f>HYPERLINK("/assets/documents/TissueScan/abstracts/"&amp;Q21&amp;".rtf",Q21)</f>
        <v>CU0000005034</v>
      </c>
      <c r="S21" s="13" t="str">
        <f>HYPERLINK("images\cu0000005034.1.4x.jpg","CU0000005034.1.4X")</f>
        <v>CU0000005034.1.4X</v>
      </c>
      <c r="T21" s="15" t="str">
        <f t="shared" si="0"/>
        <v>CU0000005034.1.4X</v>
      </c>
      <c r="U21" s="13" t="str">
        <f>HYPERLINK("images\cu0000005034.1.20x.jpg","CU0000005034.1.20X")</f>
        <v>CU0000005034.1.20X</v>
      </c>
      <c r="V21" s="15" t="str">
        <f t="shared" si="1"/>
        <v>CU0000005034.1.20X</v>
      </c>
      <c r="W21" s="13" t="str">
        <f>HYPERLINK("images\cu0000005034.1.b700.jpg","CU0000005034.1.B700")</f>
        <v>CU0000005034.1.B700</v>
      </c>
      <c r="X21" s="15" t="str">
        <f t="shared" si="2"/>
        <v>CU0000005034.1.B700</v>
      </c>
      <c r="Y21" s="14">
        <v>1.2899999618530273</v>
      </c>
      <c r="Z21" s="13" t="str">
        <f>HYPERLINK("images\cu0000005034.1.r359.jpg","CU0000005034.1.R359")</f>
        <v>CU0000005034.1.R359</v>
      </c>
      <c r="AA21" s="15" t="str">
        <f t="shared" si="3"/>
        <v>CU0000005034.1.R359</v>
      </c>
      <c r="AB21" s="9" t="s">
        <v>40</v>
      </c>
      <c r="AC21" s="9" t="s">
        <v>43</v>
      </c>
      <c r="AD21" s="5"/>
      <c r="AE21" s="9"/>
      <c r="AF21" s="10"/>
      <c r="AG21" s="11"/>
      <c r="AH21" s="11"/>
      <c r="AI21" s="12"/>
      <c r="AJ21" s="9"/>
      <c r="AK21" s="9"/>
      <c r="AL21" s="9"/>
    </row>
    <row r="22" spans="1:38" ht="12.75">
      <c r="A22" s="6" t="s">
        <v>208</v>
      </c>
      <c r="B22" s="16">
        <v>21</v>
      </c>
      <c r="C22" s="10" t="s">
        <v>180</v>
      </c>
      <c r="D22" s="10" t="s">
        <v>128</v>
      </c>
      <c r="E22" s="10" t="s">
        <v>20</v>
      </c>
      <c r="F22" s="10">
        <v>54</v>
      </c>
      <c r="G22" s="9" t="s">
        <v>37</v>
      </c>
      <c r="H22" s="9" t="s">
        <v>9</v>
      </c>
      <c r="I22" s="9" t="s">
        <v>25</v>
      </c>
      <c r="J22" s="10" t="s">
        <v>50</v>
      </c>
      <c r="K22" s="10">
        <v>20</v>
      </c>
      <c r="L22" s="10">
        <v>0</v>
      </c>
      <c r="M22" s="10">
        <v>60</v>
      </c>
      <c r="N22" s="10">
        <v>20</v>
      </c>
      <c r="O22" s="10">
        <v>0</v>
      </c>
      <c r="P22" s="10">
        <v>0</v>
      </c>
      <c r="Q22" s="13" t="str">
        <f>HYPERLINK("abstracts\ci0000008122.rtf","CI0000008122")</f>
        <v>CI0000008122</v>
      </c>
      <c r="R22" s="18" t="str">
        <f>HYPERLINK("/assets/documents/TissueScan/abstracts/"&amp;Q22&amp;".rtf",Q22)</f>
        <v>CI0000008122</v>
      </c>
      <c r="S22" s="13" t="str">
        <f>HYPERLINK("images\ci0000008122.1.4x.jpg","CI0000008122.1.4X")</f>
        <v>CI0000008122.1.4X</v>
      </c>
      <c r="T22" s="15" t="str">
        <f t="shared" si="0"/>
        <v>CI0000008122.1.4X</v>
      </c>
      <c r="U22" s="13" t="str">
        <f>HYPERLINK("images\ci0000008122.1.20x.jpg","CI0000008122.1.20X")</f>
        <v>CI0000008122.1.20X</v>
      </c>
      <c r="V22" s="15" t="str">
        <f t="shared" si="1"/>
        <v>CI0000008122.1.20X</v>
      </c>
      <c r="W22" s="13" t="str">
        <f>HYPERLINK("images\ci0000008122.1.b703.jpg","CI0000008122.1.B703")</f>
        <v>CI0000008122.1.B703</v>
      </c>
      <c r="X22" s="15" t="str">
        <f t="shared" si="2"/>
        <v>CI0000008122.1.B703</v>
      </c>
      <c r="Y22" s="14">
        <v>1.4900000095367432</v>
      </c>
      <c r="Z22" s="13" t="str">
        <f>HYPERLINK("images\ci0000008122.1.r362.jpg","CI0000008122.1.R362")</f>
        <v>CI0000008122.1.R362</v>
      </c>
      <c r="AA22" s="15" t="str">
        <f t="shared" si="3"/>
        <v>CI0000008122.1.R362</v>
      </c>
      <c r="AB22" s="9" t="s">
        <v>49</v>
      </c>
      <c r="AC22" s="9"/>
      <c r="AD22" s="5"/>
      <c r="AE22" s="9"/>
      <c r="AF22" s="10"/>
      <c r="AG22" s="11"/>
      <c r="AH22" s="11"/>
      <c r="AI22" s="12"/>
      <c r="AJ22" s="9"/>
      <c r="AK22" s="9"/>
      <c r="AL22" s="9"/>
    </row>
    <row r="23" spans="1:38" ht="12.75">
      <c r="A23" s="6" t="s">
        <v>208</v>
      </c>
      <c r="B23" s="16">
        <v>22</v>
      </c>
      <c r="C23" s="10" t="s">
        <v>181</v>
      </c>
      <c r="D23" s="10" t="s">
        <v>117</v>
      </c>
      <c r="E23" s="10" t="s">
        <v>20</v>
      </c>
      <c r="F23" s="10">
        <v>61</v>
      </c>
      <c r="G23" s="9" t="s">
        <v>37</v>
      </c>
      <c r="H23" s="9" t="s">
        <v>9</v>
      </c>
      <c r="I23" s="9" t="s">
        <v>22</v>
      </c>
      <c r="J23" s="10" t="s">
        <v>45</v>
      </c>
      <c r="K23" s="10">
        <v>0</v>
      </c>
      <c r="L23" s="10">
        <v>0</v>
      </c>
      <c r="M23" s="10">
        <v>70</v>
      </c>
      <c r="N23" s="10">
        <v>20</v>
      </c>
      <c r="O23" s="10">
        <v>0</v>
      </c>
      <c r="P23" s="10">
        <v>10</v>
      </c>
      <c r="Q23" s="13" t="str">
        <f>HYPERLINK("abstracts\cu0000000515.rtf","CU0000000515")</f>
        <v>CU0000000515</v>
      </c>
      <c r="R23" s="18" t="str">
        <f>HYPERLINK("/assets/documents/TissueScan/abstracts/"&amp;Q23&amp;".rtf",Q23)</f>
        <v>CU0000000515</v>
      </c>
      <c r="S23" s="13" t="str">
        <f>HYPERLINK("images\cu0000000515.9.4x.jpg","CU0000000515.9.4X")</f>
        <v>CU0000000515.9.4X</v>
      </c>
      <c r="T23" s="15" t="str">
        <f t="shared" si="0"/>
        <v>CU0000000515.9.4X</v>
      </c>
      <c r="U23" s="13" t="str">
        <f>HYPERLINK("images\cu0000000515.9.20x.jpg","CU0000000515.9.20X")</f>
        <v>CU0000000515.9.20X</v>
      </c>
      <c r="V23" s="15" t="str">
        <f t="shared" si="1"/>
        <v>CU0000000515.9.20X</v>
      </c>
      <c r="W23" s="13" t="str">
        <f>HYPERLINK("images\cu0000000515.9.b700.jpg","CU0000000515.9.B700")</f>
        <v>CU0000000515.9.B700</v>
      </c>
      <c r="X23" s="15" t="str">
        <f t="shared" si="2"/>
        <v>CU0000000515.9.B700</v>
      </c>
      <c r="Y23" s="14">
        <v>1.4500000476837158</v>
      </c>
      <c r="Z23" s="13" t="str">
        <f>HYPERLINK("images\cu0000000515.9.r359.jpg","CU0000000515.9.R359")</f>
        <v>CU0000000515.9.R359</v>
      </c>
      <c r="AA23" s="15" t="str">
        <f t="shared" si="3"/>
        <v>CU0000000515.9.R359</v>
      </c>
      <c r="AB23" s="9" t="s">
        <v>44</v>
      </c>
      <c r="AC23" s="9"/>
      <c r="AD23" s="5"/>
      <c r="AE23" s="9"/>
      <c r="AF23" s="10"/>
      <c r="AG23" s="11"/>
      <c r="AH23" s="11"/>
      <c r="AI23" s="12"/>
      <c r="AJ23" s="9"/>
      <c r="AK23" s="9"/>
      <c r="AL23" s="9"/>
    </row>
    <row r="24" spans="1:38" ht="12.75">
      <c r="A24" s="6" t="s">
        <v>208</v>
      </c>
      <c r="B24" s="16">
        <f t="shared" si="4"/>
        <v>23</v>
      </c>
      <c r="C24" s="10" t="s">
        <v>182</v>
      </c>
      <c r="D24" s="10" t="s">
        <v>122</v>
      </c>
      <c r="E24" s="10" t="s">
        <v>20</v>
      </c>
      <c r="F24" s="10">
        <v>71</v>
      </c>
      <c r="G24" s="9" t="s">
        <v>21</v>
      </c>
      <c r="H24" s="9" t="s">
        <v>9</v>
      </c>
      <c r="I24" s="9" t="s">
        <v>25</v>
      </c>
      <c r="J24" s="10" t="s">
        <v>45</v>
      </c>
      <c r="K24" s="10">
        <v>0</v>
      </c>
      <c r="L24" s="10">
        <v>0</v>
      </c>
      <c r="M24" s="10">
        <v>70</v>
      </c>
      <c r="N24" s="10">
        <v>30</v>
      </c>
      <c r="O24" s="10">
        <v>0</v>
      </c>
      <c r="P24" s="10">
        <v>0</v>
      </c>
      <c r="Q24" s="13" t="str">
        <f>HYPERLINK("abstracts\cu0000001949.rtf","CU0000001949")</f>
        <v>CU0000001949</v>
      </c>
      <c r="R24" s="18" t="str">
        <f>HYPERLINK("/assets/documents/TissueScan/abstracts/"&amp;Q24&amp;".rtf",Q24)</f>
        <v>CU0000001949</v>
      </c>
      <c r="S24" s="13" t="str">
        <f>HYPERLINK("images\cu0000001949.2.4x.jpg","CU0000001949.2.4X")</f>
        <v>CU0000001949.2.4X</v>
      </c>
      <c r="T24" s="15" t="str">
        <f t="shared" si="0"/>
        <v>CU0000001949.2.4X</v>
      </c>
      <c r="U24" s="13" t="str">
        <f>HYPERLINK("images\cu0000001949.2.20x.jpg","CU0000001949.2.20X")</f>
        <v>CU0000001949.2.20X</v>
      </c>
      <c r="V24" s="15" t="str">
        <f t="shared" si="1"/>
        <v>CU0000001949.2.20X</v>
      </c>
      <c r="W24" s="13" t="str">
        <f>HYPERLINK("images\cu0000001949.2.b700.jpg","CU0000001949.2.B700")</f>
        <v>CU0000001949.2.B700</v>
      </c>
      <c r="X24" s="15" t="str">
        <f t="shared" si="2"/>
        <v>CU0000001949.2.B700</v>
      </c>
      <c r="Y24" s="14">
        <v>1.0499999523162842</v>
      </c>
      <c r="Z24" s="13" t="str">
        <f>HYPERLINK("images\cu0000001949.2.r359.jpg","CU0000001949.2.R359")</f>
        <v>CU0000001949.2.R359</v>
      </c>
      <c r="AA24" s="15" t="str">
        <f t="shared" si="3"/>
        <v>CU0000001949.2.R359</v>
      </c>
      <c r="AB24" s="9" t="s">
        <v>44</v>
      </c>
      <c r="AC24" s="9"/>
      <c r="AD24" s="5"/>
      <c r="AE24" s="9"/>
      <c r="AF24" s="10"/>
      <c r="AG24" s="11"/>
      <c r="AH24" s="11"/>
      <c r="AI24" s="12"/>
      <c r="AJ24" s="9"/>
      <c r="AK24" s="9"/>
      <c r="AL24" s="9"/>
    </row>
    <row r="25" spans="1:38" ht="12.75">
      <c r="A25" s="6" t="s">
        <v>208</v>
      </c>
      <c r="B25" s="16">
        <f t="shared" si="4"/>
        <v>24</v>
      </c>
      <c r="C25" s="10" t="s">
        <v>183</v>
      </c>
      <c r="D25" s="10" t="s">
        <v>112</v>
      </c>
      <c r="E25" s="10" t="s">
        <v>20</v>
      </c>
      <c r="F25" s="10">
        <v>62</v>
      </c>
      <c r="G25" s="9" t="s">
        <v>37</v>
      </c>
      <c r="H25" s="9" t="s">
        <v>9</v>
      </c>
      <c r="I25" s="9" t="s">
        <v>25</v>
      </c>
      <c r="J25" s="10" t="s">
        <v>47</v>
      </c>
      <c r="K25" s="10">
        <v>35</v>
      </c>
      <c r="L25" s="10">
        <v>0</v>
      </c>
      <c r="M25" s="10">
        <v>55</v>
      </c>
      <c r="N25" s="10">
        <v>7</v>
      </c>
      <c r="O25" s="10">
        <v>0</v>
      </c>
      <c r="P25" s="10">
        <v>3</v>
      </c>
      <c r="Q25" s="13" t="str">
        <f>HYPERLINK("abstracts\ci0000000066.rtf","CI0000000066")</f>
        <v>CI0000000066</v>
      </c>
      <c r="R25" s="18" t="str">
        <f>HYPERLINK("/assets/documents/TissueScan/abstracts/"&amp;Q25&amp;".rtf",Q25)</f>
        <v>CI0000000066</v>
      </c>
      <c r="S25" s="13" t="str">
        <f>HYPERLINK("images\ci0000000066.5.4x.jpg","CI0000000066.5.4X")</f>
        <v>CI0000000066.5.4X</v>
      </c>
      <c r="T25" s="15" t="str">
        <f t="shared" si="0"/>
        <v>CI0000000066.5.4X</v>
      </c>
      <c r="U25" s="13" t="str">
        <f>HYPERLINK("images\ci0000000066.5.20x.jpg","CI0000000066.5.20X")</f>
        <v>CI0000000066.5.20X</v>
      </c>
      <c r="V25" s="15" t="str">
        <f t="shared" si="1"/>
        <v>CI0000000066.5.20X</v>
      </c>
      <c r="W25" s="13" t="str">
        <f>HYPERLINK("images\ci0000000066.5.b700.jpg","CI0000000066.5.B700")</f>
        <v>CI0000000066.5.B700</v>
      </c>
      <c r="X25" s="15" t="str">
        <f t="shared" si="2"/>
        <v>CI0000000066.5.B700</v>
      </c>
      <c r="Y25" s="14">
        <v>1.2000000476837158</v>
      </c>
      <c r="Z25" s="13" t="str">
        <f>HYPERLINK("images\ci0000000066.5.r359.jpg","CI0000000066.5.R359")</f>
        <v>CI0000000066.5.R359</v>
      </c>
      <c r="AA25" s="15" t="str">
        <f t="shared" si="3"/>
        <v>CI0000000066.5.R359</v>
      </c>
      <c r="AB25" s="9" t="s">
        <v>46</v>
      </c>
      <c r="AC25" s="9"/>
      <c r="AD25" s="5"/>
      <c r="AE25" s="9"/>
      <c r="AF25" s="10"/>
      <c r="AG25" s="11"/>
      <c r="AH25" s="11"/>
      <c r="AI25" s="12"/>
      <c r="AJ25" s="9"/>
      <c r="AK25" s="9"/>
      <c r="AL25" s="9"/>
    </row>
    <row r="26" spans="1:38" ht="12.75">
      <c r="A26" s="6" t="s">
        <v>208</v>
      </c>
      <c r="B26" s="16">
        <f t="shared" si="4"/>
        <v>25</v>
      </c>
      <c r="C26" s="10" t="s">
        <v>184</v>
      </c>
      <c r="D26" s="10" t="s">
        <v>125</v>
      </c>
      <c r="E26" s="10" t="s">
        <v>20</v>
      </c>
      <c r="F26" s="10">
        <v>71</v>
      </c>
      <c r="G26" s="9" t="s">
        <v>37</v>
      </c>
      <c r="H26" s="9" t="s">
        <v>9</v>
      </c>
      <c r="I26" s="9" t="s">
        <v>25</v>
      </c>
      <c r="J26" s="10" t="s">
        <v>47</v>
      </c>
      <c r="K26" s="10">
        <v>0</v>
      </c>
      <c r="L26" s="10">
        <v>0</v>
      </c>
      <c r="M26" s="10">
        <v>80</v>
      </c>
      <c r="N26" s="10">
        <v>15</v>
      </c>
      <c r="O26" s="10">
        <v>0</v>
      </c>
      <c r="P26" s="10">
        <v>5</v>
      </c>
      <c r="Q26" s="13" t="str">
        <f>HYPERLINK("abstracts\cu0000005565.rtf","CU0000005565")</f>
        <v>CU0000005565</v>
      </c>
      <c r="R26" s="18" t="str">
        <f>HYPERLINK("/assets/documents/TissueScan/abstracts/"&amp;Q26&amp;".rtf",Q26)</f>
        <v>CU0000005565</v>
      </c>
      <c r="S26" s="13" t="str">
        <f>HYPERLINK("images\cu0000005565.2.4x.jpg","CU0000005565.2.4X")</f>
        <v>CU0000005565.2.4X</v>
      </c>
      <c r="T26" s="15" t="str">
        <f t="shared" si="0"/>
        <v>CU0000005565.2.4X</v>
      </c>
      <c r="U26" s="13" t="str">
        <f>HYPERLINK("images\cu0000005565.2.20x.jpg","CU0000005565.2.20X")</f>
        <v>CU0000005565.2.20X</v>
      </c>
      <c r="V26" s="15" t="str">
        <f t="shared" si="1"/>
        <v>CU0000005565.2.20X</v>
      </c>
      <c r="W26" s="13" t="str">
        <f>HYPERLINK("images\cu0000005565.2.b700.jpg","CU0000005565.2.B700")</f>
        <v>CU0000005565.2.B700</v>
      </c>
      <c r="X26" s="15" t="str">
        <f t="shared" si="2"/>
        <v>CU0000005565.2.B700</v>
      </c>
      <c r="Y26" s="14">
        <v>1.9199999570846558</v>
      </c>
      <c r="Z26" s="13" t="str">
        <f>HYPERLINK("images\cu0000005565.2.r359.jpg","CU0000005565.2.R359")</f>
        <v>CU0000005565.2.R359</v>
      </c>
      <c r="AA26" s="15" t="str">
        <f t="shared" si="3"/>
        <v>CU0000005565.2.R359</v>
      </c>
      <c r="AB26" s="9" t="s">
        <v>48</v>
      </c>
      <c r="AC26" s="9"/>
      <c r="AD26" s="5"/>
      <c r="AE26" s="9"/>
      <c r="AF26" s="10"/>
      <c r="AG26" s="11"/>
      <c r="AH26" s="11"/>
      <c r="AI26" s="12"/>
      <c r="AJ26" s="9"/>
      <c r="AK26" s="9"/>
      <c r="AL26" s="9"/>
    </row>
    <row r="27" spans="1:38" ht="12.75">
      <c r="A27" s="6" t="s">
        <v>208</v>
      </c>
      <c r="B27" s="16">
        <f t="shared" si="4"/>
        <v>26</v>
      </c>
      <c r="C27" s="10" t="s">
        <v>185</v>
      </c>
      <c r="D27" s="10" t="s">
        <v>127</v>
      </c>
      <c r="E27" s="10" t="s">
        <v>20</v>
      </c>
      <c r="F27" s="10">
        <v>58</v>
      </c>
      <c r="G27" s="9" t="s">
        <v>37</v>
      </c>
      <c r="H27" s="9" t="s">
        <v>9</v>
      </c>
      <c r="I27" s="9" t="s">
        <v>25</v>
      </c>
      <c r="J27" s="10" t="s">
        <v>47</v>
      </c>
      <c r="K27" s="10">
        <v>0</v>
      </c>
      <c r="L27" s="10">
        <v>0</v>
      </c>
      <c r="M27" s="10">
        <v>80</v>
      </c>
      <c r="N27" s="10">
        <v>20</v>
      </c>
      <c r="O27" s="10">
        <v>0</v>
      </c>
      <c r="P27" s="10">
        <v>0</v>
      </c>
      <c r="Q27" s="13" t="str">
        <f>HYPERLINK("abstracts\ci0000005206.rtf","CI0000005206")</f>
        <v>CI0000005206</v>
      </c>
      <c r="R27" s="18" t="str">
        <f>HYPERLINK("/assets/documents/TissueScan/abstracts/"&amp;Q27&amp;".rtf",Q27)</f>
        <v>CI0000005206</v>
      </c>
      <c r="S27" s="13" t="str">
        <f>HYPERLINK("images\ci0000005206.1.4x.jpg","CI0000005206.1.4X")</f>
        <v>CI0000005206.1.4X</v>
      </c>
      <c r="T27" s="15" t="str">
        <f t="shared" si="0"/>
        <v>CI0000005206.1.4X</v>
      </c>
      <c r="U27" s="13" t="str">
        <f>HYPERLINK("images\ci0000005206.1.20x.jpg","CI0000005206.1.20X")</f>
        <v>CI0000005206.1.20X</v>
      </c>
      <c r="V27" s="15" t="str">
        <f t="shared" si="1"/>
        <v>CI0000005206.1.20X</v>
      </c>
      <c r="W27" s="13" t="str">
        <f>HYPERLINK("images\ci0000005206.1.b703.jpg","CI0000005206.1.B703")</f>
        <v>CI0000005206.1.B703</v>
      </c>
      <c r="X27" s="15" t="str">
        <f t="shared" si="2"/>
        <v>CI0000005206.1.B703</v>
      </c>
      <c r="Y27" s="14">
        <v>1.399999976158142</v>
      </c>
      <c r="Z27" s="13" t="str">
        <f>HYPERLINK("images\ci0000005206.1.r362.jpg","CI0000005206.1.R362")</f>
        <v>CI0000005206.1.R362</v>
      </c>
      <c r="AA27" s="15" t="str">
        <f t="shared" si="3"/>
        <v>CI0000005206.1.R362</v>
      </c>
      <c r="AB27" s="9" t="s">
        <v>46</v>
      </c>
      <c r="AC27" s="9"/>
      <c r="AD27" s="5"/>
      <c r="AE27" s="9"/>
      <c r="AF27" s="10"/>
      <c r="AG27" s="11"/>
      <c r="AH27" s="11"/>
      <c r="AI27" s="12"/>
      <c r="AJ27" s="9"/>
      <c r="AK27" s="9"/>
      <c r="AL27" s="9"/>
    </row>
    <row r="28" spans="1:38" ht="12.75">
      <c r="A28" s="6" t="s">
        <v>208</v>
      </c>
      <c r="B28" s="16">
        <v>27</v>
      </c>
      <c r="C28" s="10" t="s">
        <v>186</v>
      </c>
      <c r="D28" s="10" t="s">
        <v>129</v>
      </c>
      <c r="E28" s="10" t="s">
        <v>20</v>
      </c>
      <c r="F28" s="10">
        <v>86</v>
      </c>
      <c r="G28" s="9" t="s">
        <v>37</v>
      </c>
      <c r="H28" s="9" t="s">
        <v>9</v>
      </c>
      <c r="I28" s="9" t="s">
        <v>25</v>
      </c>
      <c r="J28" s="10" t="s">
        <v>47</v>
      </c>
      <c r="K28" s="10">
        <v>0</v>
      </c>
      <c r="L28" s="10">
        <v>0</v>
      </c>
      <c r="M28" s="10">
        <v>80</v>
      </c>
      <c r="N28" s="10">
        <v>10</v>
      </c>
      <c r="O28" s="10">
        <v>10</v>
      </c>
      <c r="P28" s="10">
        <v>0</v>
      </c>
      <c r="Q28" s="13" t="str">
        <f>HYPERLINK("abstracts\ci0000008714.rtf","CI0000008714")</f>
        <v>CI0000008714</v>
      </c>
      <c r="R28" s="18" t="str">
        <f>HYPERLINK("/assets/documents/TissueScan/abstracts/"&amp;Q28&amp;".rtf",Q28)</f>
        <v>CI0000008714</v>
      </c>
      <c r="S28" s="13" t="str">
        <f>HYPERLINK("images\ci0000008714.1.4x.jpg","CI0000008714.1.4X")</f>
        <v>CI0000008714.1.4X</v>
      </c>
      <c r="T28" s="15" t="str">
        <f t="shared" si="0"/>
        <v>CI0000008714.1.4X</v>
      </c>
      <c r="U28" s="13" t="str">
        <f>HYPERLINK("images\ci0000008714.1.20x.jpg","CI0000008714.1.20X")</f>
        <v>CI0000008714.1.20X</v>
      </c>
      <c r="V28" s="15" t="str">
        <f t="shared" si="1"/>
        <v>CI0000008714.1.20X</v>
      </c>
      <c r="W28" s="13" t="str">
        <f>HYPERLINK("images\ci0000008714.1.b703.jpg","CI0000008714.1.B703")</f>
        <v>CI0000008714.1.B703</v>
      </c>
      <c r="X28" s="15" t="str">
        <f t="shared" si="2"/>
        <v>CI0000008714.1.B703</v>
      </c>
      <c r="Y28" s="14">
        <v>1.4600000381469727</v>
      </c>
      <c r="Z28" s="13" t="str">
        <f>HYPERLINK("images\ci0000008714.1.r362.jpg","CI0000008714.1.R362")</f>
        <v>CI0000008714.1.R362</v>
      </c>
      <c r="AA28" s="15" t="str">
        <f t="shared" si="3"/>
        <v>CI0000008714.1.R362</v>
      </c>
      <c r="AB28" s="9" t="s">
        <v>48</v>
      </c>
      <c r="AC28" s="9"/>
      <c r="AD28" s="5"/>
      <c r="AE28" s="9"/>
      <c r="AF28" s="10"/>
      <c r="AG28" s="11"/>
      <c r="AH28" s="11"/>
      <c r="AI28" s="12"/>
      <c r="AJ28" s="9"/>
      <c r="AK28" s="9"/>
      <c r="AL28" s="9"/>
    </row>
    <row r="29" spans="1:38" ht="12.75">
      <c r="A29" s="6" t="s">
        <v>208</v>
      </c>
      <c r="B29" s="16">
        <v>28</v>
      </c>
      <c r="C29" s="10" t="s">
        <v>187</v>
      </c>
      <c r="D29" s="10" t="s">
        <v>137</v>
      </c>
      <c r="E29" s="10" t="s">
        <v>20</v>
      </c>
      <c r="F29" s="10">
        <v>83</v>
      </c>
      <c r="G29" s="9" t="s">
        <v>37</v>
      </c>
      <c r="H29" s="9" t="s">
        <v>9</v>
      </c>
      <c r="I29" s="9" t="s">
        <v>54</v>
      </c>
      <c r="J29" s="10" t="s">
        <v>56</v>
      </c>
      <c r="K29" s="10">
        <v>0</v>
      </c>
      <c r="L29" s="10">
        <v>0</v>
      </c>
      <c r="M29" s="10">
        <v>70</v>
      </c>
      <c r="N29" s="10">
        <v>20</v>
      </c>
      <c r="O29" s="10">
        <v>0</v>
      </c>
      <c r="P29" s="10">
        <v>10</v>
      </c>
      <c r="Q29" s="13" t="str">
        <f>HYPERLINK("abstracts\ci0000008955.rtf","CI0000008955")</f>
        <v>CI0000008955</v>
      </c>
      <c r="R29" s="18" t="str">
        <f>HYPERLINK("/assets/documents/TissueScan/abstracts/"&amp;Q29&amp;".rtf",Q29)</f>
        <v>CI0000008955</v>
      </c>
      <c r="S29" s="13" t="str">
        <f>HYPERLINK("images\ci0000008955.2.4x.jpg","CI0000008955.2.4X")</f>
        <v>CI0000008955.2.4X</v>
      </c>
      <c r="T29" s="15" t="str">
        <f t="shared" si="0"/>
        <v>CI0000008955.2.4X</v>
      </c>
      <c r="U29" s="13" t="str">
        <f>HYPERLINK("images\ci0000008955.2.20x.jpg","CI0000008955.2.20X")</f>
        <v>CI0000008955.2.20X</v>
      </c>
      <c r="V29" s="15" t="str">
        <f t="shared" si="1"/>
        <v>CI0000008955.2.20X</v>
      </c>
      <c r="W29" s="13" t="str">
        <f>HYPERLINK("images\ci0000008955.2.b703.jpg","CI0000008955.2.B703")</f>
        <v>CI0000008955.2.B703</v>
      </c>
      <c r="X29" s="15" t="str">
        <f t="shared" si="2"/>
        <v>CI0000008955.2.B703</v>
      </c>
      <c r="Y29" s="14">
        <v>1.4199999570846558</v>
      </c>
      <c r="Z29" s="13" t="str">
        <f>HYPERLINK("images\ci0000008955.2.r362.jpg","CI0000008955.2.R362")</f>
        <v>CI0000008955.2.R362</v>
      </c>
      <c r="AA29" s="15" t="str">
        <f t="shared" si="3"/>
        <v>CI0000008955.2.R362</v>
      </c>
      <c r="AB29" s="9" t="s">
        <v>55</v>
      </c>
      <c r="AC29" s="9"/>
      <c r="AD29" s="5"/>
      <c r="AE29" s="9"/>
      <c r="AF29" s="10"/>
      <c r="AG29" s="11"/>
      <c r="AH29" s="11"/>
      <c r="AI29" s="12"/>
      <c r="AJ29" s="9"/>
      <c r="AK29" s="9"/>
      <c r="AL29" s="9"/>
    </row>
    <row r="30" spans="1:38" ht="12.75">
      <c r="A30" s="6" t="s">
        <v>208</v>
      </c>
      <c r="B30" s="16">
        <v>29</v>
      </c>
      <c r="C30" s="10" t="s">
        <v>188</v>
      </c>
      <c r="D30" s="10" t="s">
        <v>147</v>
      </c>
      <c r="E30" s="10" t="s">
        <v>20</v>
      </c>
      <c r="F30" s="10">
        <v>46</v>
      </c>
      <c r="G30" s="9" t="s">
        <v>21</v>
      </c>
      <c r="H30" s="9" t="s">
        <v>9</v>
      </c>
      <c r="I30" s="9" t="s">
        <v>25</v>
      </c>
      <c r="J30" s="10" t="s">
        <v>56</v>
      </c>
      <c r="K30" s="10">
        <v>0</v>
      </c>
      <c r="L30" s="10">
        <v>0</v>
      </c>
      <c r="M30" s="10">
        <v>95</v>
      </c>
      <c r="N30" s="10">
        <v>4</v>
      </c>
      <c r="O30" s="10">
        <v>0</v>
      </c>
      <c r="P30" s="10">
        <v>1</v>
      </c>
      <c r="Q30" s="13" t="str">
        <f>HYPERLINK("abstracts\ci0000014212.rtf","CI0000014212")</f>
        <v>CI0000014212</v>
      </c>
      <c r="R30" s="18" t="str">
        <f>HYPERLINK("/assets/documents/TissueScan/abstracts/"&amp;Q30&amp;".rtf",Q30)</f>
        <v>CI0000014212</v>
      </c>
      <c r="S30" s="13" t="str">
        <f>HYPERLINK("images\ci0000014212.1.4x.jpg","CI0000014212.1.4X")</f>
        <v>CI0000014212.1.4X</v>
      </c>
      <c r="T30" s="15" t="str">
        <f t="shared" si="0"/>
        <v>CI0000014212.1.4X</v>
      </c>
      <c r="U30" s="13" t="str">
        <f>HYPERLINK("images\ci0000014212.1.20x.jpg","CI0000014212.1.20X")</f>
        <v>CI0000014212.1.20X</v>
      </c>
      <c r="V30" s="15" t="str">
        <f t="shared" si="1"/>
        <v>CI0000014212.1.20X</v>
      </c>
      <c r="W30" s="13" t="str">
        <f>HYPERLINK("images\ci0000014212.1.b705.jpg","CI0000014212.1.B705")</f>
        <v>CI0000014212.1.B705</v>
      </c>
      <c r="X30" s="15" t="str">
        <f t="shared" si="2"/>
        <v>CI0000014212.1.B705</v>
      </c>
      <c r="Y30" s="14">
        <v>1.5299999713897705</v>
      </c>
      <c r="Z30" s="13" t="str">
        <f>HYPERLINK("images\ci0000014212.1.r364.jpg","CI0000014212.1.R364")</f>
        <v>CI0000014212.1.R364</v>
      </c>
      <c r="AA30" s="15" t="str">
        <f t="shared" si="3"/>
        <v>CI0000014212.1.R364</v>
      </c>
      <c r="AB30" s="9" t="s">
        <v>64</v>
      </c>
      <c r="AC30" s="9" t="s">
        <v>65</v>
      </c>
      <c r="AD30" s="5"/>
      <c r="AE30" s="9"/>
      <c r="AF30" s="10"/>
      <c r="AG30" s="11"/>
      <c r="AH30" s="11"/>
      <c r="AI30" s="12"/>
      <c r="AJ30" s="9"/>
      <c r="AK30" s="9"/>
      <c r="AL30" s="9"/>
    </row>
    <row r="31" spans="1:38" ht="12.75">
      <c r="A31" s="6" t="s">
        <v>208</v>
      </c>
      <c r="B31" s="16">
        <v>30</v>
      </c>
      <c r="C31" s="10" t="s">
        <v>189</v>
      </c>
      <c r="D31" s="10" t="s">
        <v>150</v>
      </c>
      <c r="E31" s="10" t="s">
        <v>20</v>
      </c>
      <c r="F31" s="10">
        <v>42</v>
      </c>
      <c r="G31" s="9" t="s">
        <v>21</v>
      </c>
      <c r="H31" s="9" t="s">
        <v>9</v>
      </c>
      <c r="I31" s="9" t="s">
        <v>25</v>
      </c>
      <c r="J31" s="10" t="s">
        <v>56</v>
      </c>
      <c r="K31" s="10">
        <v>0</v>
      </c>
      <c r="L31" s="10">
        <v>0</v>
      </c>
      <c r="M31" s="10">
        <v>95</v>
      </c>
      <c r="N31" s="10">
        <v>5</v>
      </c>
      <c r="O31" s="10">
        <v>0</v>
      </c>
      <c r="P31" s="10">
        <v>0</v>
      </c>
      <c r="Q31" s="13" t="str">
        <f>HYPERLINK("abstracts\ci0000016654.rtf","CI0000016654")</f>
        <v>CI0000016654</v>
      </c>
      <c r="R31" s="18" t="str">
        <f>HYPERLINK("/assets/documents/TissueScan/abstracts/"&amp;Q31&amp;".rtf",Q31)</f>
        <v>CI0000016654</v>
      </c>
      <c r="S31" s="13" t="str">
        <f>HYPERLINK("images\ci0000016654.1.4x.jpg","CI0000016654.1.4X")</f>
        <v>CI0000016654.1.4X</v>
      </c>
      <c r="T31" s="15" t="str">
        <f t="shared" si="0"/>
        <v>CI0000016654.1.4X</v>
      </c>
      <c r="U31" s="13" t="str">
        <f>HYPERLINK("images\ci0000016654.1.20x.jpg","CI0000016654.1.20X")</f>
        <v>CI0000016654.1.20X</v>
      </c>
      <c r="V31" s="15" t="str">
        <f t="shared" si="1"/>
        <v>CI0000016654.1.20X</v>
      </c>
      <c r="W31" s="13" t="str">
        <f>HYPERLINK("images\ci0000016654.1.b705.jpg","CI0000016654.1.B705")</f>
        <v>CI0000016654.1.B705</v>
      </c>
      <c r="X31" s="15" t="str">
        <f t="shared" si="2"/>
        <v>CI0000016654.1.B705</v>
      </c>
      <c r="Y31" s="14">
        <v>1.3799999952316284</v>
      </c>
      <c r="Z31" s="13" t="str">
        <f>HYPERLINK("images\ci0000016654.1.r364.jpg","CI0000016654.1.R364")</f>
        <v>CI0000016654.1.R364</v>
      </c>
      <c r="AA31" s="15" t="str">
        <f t="shared" si="3"/>
        <v>CI0000016654.1.R364</v>
      </c>
      <c r="AB31" s="9" t="s">
        <v>55</v>
      </c>
      <c r="AC31" s="9" t="s">
        <v>67</v>
      </c>
      <c r="AD31" s="5"/>
      <c r="AE31" s="9"/>
      <c r="AF31" s="10"/>
      <c r="AG31" s="11"/>
      <c r="AH31" s="11"/>
      <c r="AI31" s="12"/>
      <c r="AJ31" s="9"/>
      <c r="AK31" s="9"/>
      <c r="AL31" s="9"/>
    </row>
    <row r="32" spans="1:38" ht="12.75">
      <c r="A32" s="6" t="s">
        <v>208</v>
      </c>
      <c r="B32" s="16">
        <v>31</v>
      </c>
      <c r="C32" s="10" t="s">
        <v>190</v>
      </c>
      <c r="D32" s="10" t="s">
        <v>135</v>
      </c>
      <c r="E32" s="10" t="s">
        <v>20</v>
      </c>
      <c r="F32" s="10">
        <v>61</v>
      </c>
      <c r="G32" s="9" t="s">
        <v>21</v>
      </c>
      <c r="H32" s="9" t="s">
        <v>9</v>
      </c>
      <c r="I32" s="9" t="s">
        <v>22</v>
      </c>
      <c r="J32" s="10" t="s">
        <v>52</v>
      </c>
      <c r="K32" s="10">
        <v>0</v>
      </c>
      <c r="L32" s="10">
        <v>0</v>
      </c>
      <c r="M32" s="10">
        <v>80</v>
      </c>
      <c r="N32" s="10">
        <v>5</v>
      </c>
      <c r="O32" s="10">
        <v>5</v>
      </c>
      <c r="P32" s="10">
        <v>10</v>
      </c>
      <c r="Q32" s="13" t="str">
        <f>HYPERLINK("abstracts\ci0000000481.rtf","CI0000000481")</f>
        <v>CI0000000481</v>
      </c>
      <c r="R32" s="18" t="str">
        <f>HYPERLINK("/assets/documents/TissueScan/abstracts/"&amp;Q32&amp;".rtf",Q32)</f>
        <v>CI0000000481</v>
      </c>
      <c r="S32" s="13" t="str">
        <f>HYPERLINK("images\ci0000000481.1.4x.jpg","CI0000000481.1.4X")</f>
        <v>CI0000000481.1.4X</v>
      </c>
      <c r="T32" s="15" t="str">
        <f t="shared" si="0"/>
        <v>CI0000000481.1.4X</v>
      </c>
      <c r="U32" s="13" t="str">
        <f>HYPERLINK("images\ci0000000481.1.20x.jpg","CI0000000481.1.20X")</f>
        <v>CI0000000481.1.20X</v>
      </c>
      <c r="V32" s="15" t="str">
        <f t="shared" si="1"/>
        <v>CI0000000481.1.20X</v>
      </c>
      <c r="W32" s="13" t="str">
        <f>HYPERLINK("images\ci0000000481.1.b703.jpg","CI0000000481.1.B703")</f>
        <v>CI0000000481.1.B703</v>
      </c>
      <c r="X32" s="15" t="str">
        <f t="shared" si="2"/>
        <v>CI0000000481.1.B703</v>
      </c>
      <c r="Y32" s="14">
        <v>1.0299999713897705</v>
      </c>
      <c r="Z32" s="13" t="str">
        <f>HYPERLINK("images\ci0000000481.1.r362.jpg","CI0000000481.1.R362")</f>
        <v>CI0000000481.1.R362</v>
      </c>
      <c r="AA32" s="15" t="str">
        <f t="shared" si="3"/>
        <v>CI0000000481.1.R362</v>
      </c>
      <c r="AB32" s="9" t="s">
        <v>51</v>
      </c>
      <c r="AC32" s="9"/>
      <c r="AD32" s="5"/>
      <c r="AE32" s="9"/>
      <c r="AF32" s="10"/>
      <c r="AG32" s="11"/>
      <c r="AH32" s="11"/>
      <c r="AI32" s="12"/>
      <c r="AJ32" s="9"/>
      <c r="AK32" s="9"/>
      <c r="AL32" s="9"/>
    </row>
    <row r="33" spans="1:38" ht="12.75">
      <c r="A33" s="6" t="s">
        <v>208</v>
      </c>
      <c r="B33" s="16">
        <f t="shared" si="4"/>
        <v>32</v>
      </c>
      <c r="C33" s="10" t="s">
        <v>191</v>
      </c>
      <c r="D33" s="10" t="s">
        <v>136</v>
      </c>
      <c r="E33" s="10" t="s">
        <v>20</v>
      </c>
      <c r="F33" s="10">
        <v>67</v>
      </c>
      <c r="G33" s="9" t="s">
        <v>37</v>
      </c>
      <c r="H33" s="9" t="s">
        <v>9</v>
      </c>
      <c r="I33" s="9" t="s">
        <v>25</v>
      </c>
      <c r="J33" s="10" t="s">
        <v>52</v>
      </c>
      <c r="K33" s="10">
        <v>0</v>
      </c>
      <c r="L33" s="10">
        <v>0</v>
      </c>
      <c r="M33" s="10">
        <v>85</v>
      </c>
      <c r="N33" s="10">
        <v>10</v>
      </c>
      <c r="O33" s="10">
        <v>0</v>
      </c>
      <c r="P33" s="10">
        <v>5</v>
      </c>
      <c r="Q33" s="13" t="str">
        <f>HYPERLINK("abstracts\ci0000005109.rtf","CI0000005109")</f>
        <v>CI0000005109</v>
      </c>
      <c r="R33" s="18" t="str">
        <f>HYPERLINK("/assets/documents/TissueScan/abstracts/"&amp;Q33&amp;".rtf",Q33)</f>
        <v>CI0000005109</v>
      </c>
      <c r="S33" s="13" t="str">
        <f>HYPERLINK("images\ci0000005109.1.4x.jpg","CI0000005109.1.4X")</f>
        <v>CI0000005109.1.4X</v>
      </c>
      <c r="T33" s="15" t="str">
        <f t="shared" si="0"/>
        <v>CI0000005109.1.4X</v>
      </c>
      <c r="U33" s="13" t="str">
        <f>HYPERLINK("images\ci0000005109.1.20x.jpg","CI0000005109.1.20X")</f>
        <v>CI0000005109.1.20X</v>
      </c>
      <c r="V33" s="15" t="str">
        <f t="shared" si="1"/>
        <v>CI0000005109.1.20X</v>
      </c>
      <c r="W33" s="13" t="str">
        <f>HYPERLINK("images\ci0000005109.1.b703.jpg","CI0000005109.1.B703")</f>
        <v>CI0000005109.1.B703</v>
      </c>
      <c r="X33" s="15" t="str">
        <f t="shared" si="2"/>
        <v>CI0000005109.1.B703</v>
      </c>
      <c r="Y33" s="14">
        <v>1.8799999952316284</v>
      </c>
      <c r="Z33" s="13" t="str">
        <f>HYPERLINK("images\ci0000005109.1.r362.jpg","CI0000005109.1.R362")</f>
        <v>CI0000005109.1.R362</v>
      </c>
      <c r="AA33" s="15" t="str">
        <f t="shared" si="3"/>
        <v>CI0000005109.1.R362</v>
      </c>
      <c r="AB33" s="9" t="s">
        <v>53</v>
      </c>
      <c r="AC33" s="9"/>
      <c r="AD33" s="5"/>
      <c r="AE33" s="9"/>
      <c r="AF33" s="10"/>
      <c r="AG33" s="11"/>
      <c r="AH33" s="11"/>
      <c r="AI33" s="12"/>
      <c r="AJ33" s="9"/>
      <c r="AK33" s="9"/>
      <c r="AL33" s="9"/>
    </row>
    <row r="34" spans="1:38" ht="12.75">
      <c r="A34" s="6" t="s">
        <v>208</v>
      </c>
      <c r="B34" s="16">
        <v>33</v>
      </c>
      <c r="C34" s="10" t="s">
        <v>192</v>
      </c>
      <c r="D34" s="10" t="s">
        <v>139</v>
      </c>
      <c r="E34" s="10" t="s">
        <v>20</v>
      </c>
      <c r="F34" s="10">
        <v>66</v>
      </c>
      <c r="G34" s="9" t="s">
        <v>21</v>
      </c>
      <c r="H34" s="9" t="s">
        <v>9</v>
      </c>
      <c r="I34" s="9" t="s">
        <v>38</v>
      </c>
      <c r="J34" s="10" t="s">
        <v>52</v>
      </c>
      <c r="K34" s="10">
        <v>5</v>
      </c>
      <c r="L34" s="10">
        <v>0</v>
      </c>
      <c r="M34" s="10">
        <v>80</v>
      </c>
      <c r="N34" s="10">
        <v>5</v>
      </c>
      <c r="O34" s="10">
        <v>0</v>
      </c>
      <c r="P34" s="10">
        <v>10</v>
      </c>
      <c r="Q34" s="13" t="str">
        <f>HYPERLINK("abstracts\ci0000000441.rtf","CI0000000441")</f>
        <v>CI0000000441</v>
      </c>
      <c r="R34" s="18" t="str">
        <f>HYPERLINK("/assets/documents/TissueScan/abstracts/"&amp;Q34&amp;".rtf",Q34)</f>
        <v>CI0000000441</v>
      </c>
      <c r="S34" s="13" t="str">
        <f>HYPERLINK("images\ci0000000441.1.4x.jpg","CI0000000441.1.4X")</f>
        <v>CI0000000441.1.4X</v>
      </c>
      <c r="T34" s="15" t="str">
        <f t="shared" si="0"/>
        <v>CI0000000441.1.4X</v>
      </c>
      <c r="U34" s="13" t="str">
        <f>HYPERLINK("images\ci0000000441.1.20x.jpg","CI0000000441.1.20X")</f>
        <v>CI0000000441.1.20X</v>
      </c>
      <c r="V34" s="15" t="str">
        <f t="shared" si="1"/>
        <v>CI0000000441.1.20X</v>
      </c>
      <c r="W34" s="13" t="str">
        <f>HYPERLINK("images\ci0000000441.1.b705.jpg","CI0000000441.1.B705")</f>
        <v>CI0000000441.1.B705</v>
      </c>
      <c r="X34" s="15" t="str">
        <f t="shared" si="2"/>
        <v>CI0000000441.1.B705</v>
      </c>
      <c r="Y34" s="14">
        <v>1.7300000190734863</v>
      </c>
      <c r="Z34" s="13" t="str">
        <f>HYPERLINK("images\ci0000000441.1.r364.jpg","CI0000000441.1.R364")</f>
        <v>CI0000000441.1.R364</v>
      </c>
      <c r="AA34" s="15" t="str">
        <f t="shared" si="3"/>
        <v>CI0000000441.1.R364</v>
      </c>
      <c r="AB34" s="9" t="s">
        <v>57</v>
      </c>
      <c r="AC34" s="9" t="s">
        <v>58</v>
      </c>
      <c r="AD34" s="5"/>
      <c r="AE34" s="9"/>
      <c r="AF34" s="10"/>
      <c r="AG34" s="11"/>
      <c r="AH34" s="11"/>
      <c r="AI34" s="12"/>
      <c r="AJ34" s="9"/>
      <c r="AK34" s="9"/>
      <c r="AL34" s="9"/>
    </row>
    <row r="35" spans="1:38" ht="12.75">
      <c r="A35" s="6" t="s">
        <v>208</v>
      </c>
      <c r="B35" s="16">
        <f t="shared" si="4"/>
        <v>34</v>
      </c>
      <c r="C35" s="10" t="s">
        <v>193</v>
      </c>
      <c r="D35" s="10" t="s">
        <v>140</v>
      </c>
      <c r="E35" s="10" t="s">
        <v>20</v>
      </c>
      <c r="F35" s="10">
        <v>40</v>
      </c>
      <c r="G35" s="9" t="s">
        <v>21</v>
      </c>
      <c r="H35" s="9" t="s">
        <v>9</v>
      </c>
      <c r="I35" s="9" t="s">
        <v>25</v>
      </c>
      <c r="J35" s="10" t="s">
        <v>52</v>
      </c>
      <c r="K35" s="10">
        <v>0</v>
      </c>
      <c r="L35" s="10">
        <v>0</v>
      </c>
      <c r="M35" s="10">
        <v>80</v>
      </c>
      <c r="N35" s="10">
        <v>0</v>
      </c>
      <c r="O35" s="10">
        <v>5</v>
      </c>
      <c r="P35" s="10">
        <v>15</v>
      </c>
      <c r="Q35" s="13" t="str">
        <f>HYPERLINK("abstracts\ci0000005647.rtf","CI0000005647")</f>
        <v>CI0000005647</v>
      </c>
      <c r="R35" s="18" t="str">
        <f>HYPERLINK("/assets/documents/TissueScan/abstracts/"&amp;Q35&amp;".rtf",Q35)</f>
        <v>CI0000005647</v>
      </c>
      <c r="S35" s="13" t="str">
        <f>HYPERLINK("images\ci0000005647.1.4x.jpg","CI0000005647.1.4X")</f>
        <v>CI0000005647.1.4X</v>
      </c>
      <c r="T35" s="15" t="str">
        <f t="shared" si="0"/>
        <v>CI0000005647.1.4X</v>
      </c>
      <c r="U35" s="13" t="str">
        <f>HYPERLINK("images\ci0000005647.1.20x.jpg","CI0000005647.1.20X")</f>
        <v>CI0000005647.1.20X</v>
      </c>
      <c r="V35" s="15" t="str">
        <f t="shared" si="1"/>
        <v>CI0000005647.1.20X</v>
      </c>
      <c r="W35" s="13" t="str">
        <f>HYPERLINK("images\ci0000005647.1.b705.jpg","CI0000005647.1.B705")</f>
        <v>CI0000005647.1.B705</v>
      </c>
      <c r="X35" s="15" t="str">
        <f t="shared" si="2"/>
        <v>CI0000005647.1.B705</v>
      </c>
      <c r="Y35" s="14">
        <v>1.9900000095367432</v>
      </c>
      <c r="Z35" s="13" t="str">
        <f>HYPERLINK("images\ci0000005647.1.r364.jpg","CI0000005647.1.R364")</f>
        <v>CI0000005647.1.R364</v>
      </c>
      <c r="AA35" s="15" t="str">
        <f t="shared" si="3"/>
        <v>CI0000005647.1.R364</v>
      </c>
      <c r="AB35" s="9" t="s">
        <v>59</v>
      </c>
      <c r="AC35" s="9" t="s">
        <v>60</v>
      </c>
      <c r="AD35" s="5"/>
      <c r="AE35" s="9"/>
      <c r="AF35" s="10"/>
      <c r="AG35" s="11"/>
      <c r="AH35" s="11"/>
      <c r="AI35" s="12"/>
      <c r="AJ35" s="9"/>
      <c r="AK35" s="9"/>
      <c r="AL35" s="9"/>
    </row>
    <row r="36" spans="1:38" ht="12.75">
      <c r="A36" s="6" t="s">
        <v>208</v>
      </c>
      <c r="B36" s="16">
        <f t="shared" si="4"/>
        <v>35</v>
      </c>
      <c r="C36" s="10" t="s">
        <v>194</v>
      </c>
      <c r="D36" s="10" t="s">
        <v>141</v>
      </c>
      <c r="E36" s="10" t="s">
        <v>20</v>
      </c>
      <c r="F36" s="10">
        <v>40</v>
      </c>
      <c r="G36" s="9" t="s">
        <v>21</v>
      </c>
      <c r="H36" s="9" t="s">
        <v>9</v>
      </c>
      <c r="I36" s="9" t="s">
        <v>25</v>
      </c>
      <c r="J36" s="10" t="s">
        <v>52</v>
      </c>
      <c r="K36" s="10">
        <v>0</v>
      </c>
      <c r="L36" s="10">
        <v>0</v>
      </c>
      <c r="M36" s="10">
        <v>85</v>
      </c>
      <c r="N36" s="10">
        <v>0</v>
      </c>
      <c r="O36" s="10">
        <v>5</v>
      </c>
      <c r="P36" s="10">
        <v>10</v>
      </c>
      <c r="Q36" s="13" t="str">
        <f>HYPERLINK("abstracts\ci0000005647.rtf","CI0000005647")</f>
        <v>CI0000005647</v>
      </c>
      <c r="R36" s="18" t="str">
        <f>HYPERLINK("/assets/documents/TissueScan/abstracts/"&amp;Q36&amp;".rtf",Q36)</f>
        <v>CI0000005647</v>
      </c>
      <c r="S36" s="13" t="str">
        <f>HYPERLINK("images\ci0000005647.2.4x.jpg","CI0000005647.2.4X")</f>
        <v>CI0000005647.2.4X</v>
      </c>
      <c r="T36" s="15" t="str">
        <f t="shared" si="0"/>
        <v>CI0000005647.2.4X</v>
      </c>
      <c r="U36" s="13" t="str">
        <f>HYPERLINK("images\ci0000005647.2.20x.jpg","CI0000005647.2.20X")</f>
        <v>CI0000005647.2.20X</v>
      </c>
      <c r="V36" s="15" t="str">
        <f t="shared" si="1"/>
        <v>CI0000005647.2.20X</v>
      </c>
      <c r="W36" s="13" t="str">
        <f>HYPERLINK("images\ci0000005647.2.b705.jpg","CI0000005647.2.B705")</f>
        <v>CI0000005647.2.B705</v>
      </c>
      <c r="X36" s="15" t="str">
        <f t="shared" si="2"/>
        <v>CI0000005647.2.B705</v>
      </c>
      <c r="Y36" s="14">
        <v>1.8600000143051147</v>
      </c>
      <c r="Z36" s="13" t="str">
        <f>HYPERLINK("images\ci0000005647.2.r364.jpg","CI0000005647.2.R364")</f>
        <v>CI0000005647.2.R364</v>
      </c>
      <c r="AA36" s="15" t="str">
        <f t="shared" si="3"/>
        <v>CI0000005647.2.R364</v>
      </c>
      <c r="AB36" s="9" t="s">
        <v>59</v>
      </c>
      <c r="AC36" s="9" t="s">
        <v>61</v>
      </c>
      <c r="AD36" s="5"/>
      <c r="AE36" s="9"/>
      <c r="AF36" s="10"/>
      <c r="AG36" s="11"/>
      <c r="AH36" s="11"/>
      <c r="AI36" s="12"/>
      <c r="AJ36" s="9"/>
      <c r="AK36" s="9"/>
      <c r="AL36" s="9"/>
    </row>
    <row r="37" spans="1:38" ht="12.75">
      <c r="A37" s="6" t="s">
        <v>208</v>
      </c>
      <c r="B37" s="16">
        <f t="shared" si="4"/>
        <v>36</v>
      </c>
      <c r="C37" s="10" t="s">
        <v>195</v>
      </c>
      <c r="D37" s="10" t="s">
        <v>142</v>
      </c>
      <c r="E37" s="10" t="s">
        <v>20</v>
      </c>
      <c r="F37" s="10">
        <v>81</v>
      </c>
      <c r="G37" s="9" t="s">
        <v>21</v>
      </c>
      <c r="H37" s="9" t="s">
        <v>9</v>
      </c>
      <c r="I37" s="9" t="s">
        <v>27</v>
      </c>
      <c r="J37" s="10" t="s">
        <v>52</v>
      </c>
      <c r="K37" s="10">
        <v>0</v>
      </c>
      <c r="L37" s="10">
        <v>0</v>
      </c>
      <c r="M37" s="10">
        <v>85</v>
      </c>
      <c r="N37" s="10">
        <v>0</v>
      </c>
      <c r="O37" s="10">
        <v>15</v>
      </c>
      <c r="P37" s="10">
        <v>0</v>
      </c>
      <c r="Q37" s="13" t="str">
        <f>HYPERLINK("abstracts\ci0000005716.rtf","CI0000005716")</f>
        <v>CI0000005716</v>
      </c>
      <c r="R37" s="18" t="str">
        <f>HYPERLINK("/assets/documents/TissueScan/abstracts/"&amp;Q37&amp;".rtf",Q37)</f>
        <v>CI0000005716</v>
      </c>
      <c r="S37" s="13" t="str">
        <f>HYPERLINK("images\ci0000005716.1.4x.jpg","CI0000005716.1.4X")</f>
        <v>CI0000005716.1.4X</v>
      </c>
      <c r="T37" s="15" t="str">
        <f t="shared" si="0"/>
        <v>CI0000005716.1.4X</v>
      </c>
      <c r="U37" s="13" t="str">
        <f>HYPERLINK("images\ci0000005716.1.20x.jpg","CI0000005716.1.20X")</f>
        <v>CI0000005716.1.20X</v>
      </c>
      <c r="V37" s="15" t="str">
        <f t="shared" si="1"/>
        <v>CI0000005716.1.20X</v>
      </c>
      <c r="W37" s="13" t="str">
        <f>HYPERLINK("images\ci0000005716.1.b705.jpg","CI0000005716.1.B705")</f>
        <v>CI0000005716.1.B705</v>
      </c>
      <c r="X37" s="15" t="str">
        <f t="shared" si="2"/>
        <v>CI0000005716.1.B705</v>
      </c>
      <c r="Y37" s="14">
        <v>1.6299999952316284</v>
      </c>
      <c r="Z37" s="13" t="str">
        <f>HYPERLINK("images\ci0000005716.1.r364.jpg","CI0000005716.1.R364")</f>
        <v>CI0000005716.1.R364</v>
      </c>
      <c r="AA37" s="15" t="str">
        <f t="shared" si="3"/>
        <v>CI0000005716.1.R364</v>
      </c>
      <c r="AB37" s="9" t="s">
        <v>62</v>
      </c>
      <c r="AC37" s="9" t="s">
        <v>63</v>
      </c>
      <c r="AD37" s="5"/>
      <c r="AE37" s="9"/>
      <c r="AF37" s="10"/>
      <c r="AG37" s="11"/>
      <c r="AH37" s="11"/>
      <c r="AI37" s="12"/>
      <c r="AJ37" s="9"/>
      <c r="AK37" s="9"/>
      <c r="AL37" s="9"/>
    </row>
    <row r="38" spans="1:38" ht="12.75">
      <c r="A38" s="6" t="s">
        <v>208</v>
      </c>
      <c r="B38" s="16">
        <v>37</v>
      </c>
      <c r="C38" s="10" t="s">
        <v>196</v>
      </c>
      <c r="D38" s="10" t="s">
        <v>149</v>
      </c>
      <c r="E38" s="10" t="s">
        <v>20</v>
      </c>
      <c r="F38" s="10">
        <v>60</v>
      </c>
      <c r="G38" s="9" t="s">
        <v>21</v>
      </c>
      <c r="H38" s="9" t="s">
        <v>9</v>
      </c>
      <c r="I38" s="9" t="s">
        <v>25</v>
      </c>
      <c r="J38" s="10" t="s">
        <v>52</v>
      </c>
      <c r="K38" s="10">
        <v>0</v>
      </c>
      <c r="L38" s="10">
        <v>0</v>
      </c>
      <c r="M38" s="10">
        <v>80</v>
      </c>
      <c r="N38" s="10">
        <v>15</v>
      </c>
      <c r="O38" s="10">
        <v>0</v>
      </c>
      <c r="P38" s="10">
        <v>5</v>
      </c>
      <c r="Q38" s="13" t="str">
        <f>HYPERLINK("abstracts\ci0000015399.rtf","CI0000015399")</f>
        <v>CI0000015399</v>
      </c>
      <c r="R38" s="18" t="str">
        <f>HYPERLINK("/assets/documents/TissueScan/abstracts/"&amp;Q38&amp;".rtf",Q38)</f>
        <v>CI0000015399</v>
      </c>
      <c r="S38" s="13" t="str">
        <f>HYPERLINK("images\ci0000015399.1.4x.jpg","CI0000015399.1.4X")</f>
        <v>CI0000015399.1.4X</v>
      </c>
      <c r="T38" s="15" t="str">
        <f t="shared" si="0"/>
        <v>CI0000015399.1.4X</v>
      </c>
      <c r="U38" s="13" t="str">
        <f>HYPERLINK("images\ci0000015399.1.20x.jpg","CI0000015399.1.20X")</f>
        <v>CI0000015399.1.20X</v>
      </c>
      <c r="V38" s="15" t="str">
        <f t="shared" si="1"/>
        <v>CI0000015399.1.20X</v>
      </c>
      <c r="W38" s="13" t="str">
        <f>HYPERLINK("images\ci0000015399.1.b705.jpg","CI0000015399.1.B705")</f>
        <v>CI0000015399.1.B705</v>
      </c>
      <c r="X38" s="15" t="str">
        <f t="shared" si="2"/>
        <v>CI0000015399.1.B705</v>
      </c>
      <c r="Y38" s="14">
        <v>1.600000023841858</v>
      </c>
      <c r="Z38" s="13" t="str">
        <f>HYPERLINK("images\ci0000015399.1.r364.jpg","CI0000015399.1.R364")</f>
        <v>CI0000015399.1.R364</v>
      </c>
      <c r="AA38" s="15" t="str">
        <f t="shared" si="3"/>
        <v>CI0000015399.1.R364</v>
      </c>
      <c r="AB38" s="9" t="s">
        <v>53</v>
      </c>
      <c r="AC38" s="9" t="s">
        <v>66</v>
      </c>
      <c r="AD38" s="5"/>
      <c r="AE38" s="9"/>
      <c r="AF38" s="10"/>
      <c r="AG38" s="11"/>
      <c r="AH38" s="11"/>
      <c r="AI38" s="12"/>
      <c r="AJ38" s="9"/>
      <c r="AK38" s="9"/>
      <c r="AL38" s="9"/>
    </row>
    <row r="39" spans="1:38" ht="12.75">
      <c r="A39" s="6" t="s">
        <v>208</v>
      </c>
      <c r="B39" s="16">
        <v>38</v>
      </c>
      <c r="C39" s="10" t="s">
        <v>197</v>
      </c>
      <c r="D39" s="10" t="s">
        <v>151</v>
      </c>
      <c r="E39" s="10" t="s">
        <v>20</v>
      </c>
      <c r="F39" s="10">
        <v>83</v>
      </c>
      <c r="G39" s="9" t="s">
        <v>37</v>
      </c>
      <c r="H39" s="9" t="s">
        <v>9</v>
      </c>
      <c r="I39" s="9" t="s">
        <v>25</v>
      </c>
      <c r="J39" s="10" t="s">
        <v>52</v>
      </c>
      <c r="K39" s="10">
        <v>25</v>
      </c>
      <c r="L39" s="10">
        <v>0</v>
      </c>
      <c r="M39" s="10">
        <v>70</v>
      </c>
      <c r="N39" s="10">
        <v>5</v>
      </c>
      <c r="O39" s="10">
        <v>0</v>
      </c>
      <c r="P39" s="10">
        <v>0</v>
      </c>
      <c r="Q39" s="13" t="str">
        <f>HYPERLINK("abstracts\ci0000017842.rtf","CI0000017842")</f>
        <v>CI0000017842</v>
      </c>
      <c r="R39" s="18" t="str">
        <f>HYPERLINK("/assets/documents/TissueScan/abstracts/"&amp;Q39&amp;".rtf",Q39)</f>
        <v>CI0000017842</v>
      </c>
      <c r="S39" s="13" t="str">
        <f>HYPERLINK("images\ci0000017842.1.4x.jpg","CI0000017842.1.4X")</f>
        <v>CI0000017842.1.4X</v>
      </c>
      <c r="T39" s="15" t="str">
        <f t="shared" si="0"/>
        <v>CI0000017842.1.4X</v>
      </c>
      <c r="U39" s="13" t="str">
        <f>HYPERLINK("images\ci0000017842.1.20x.jpg","CI0000017842.1.20X")</f>
        <v>CI0000017842.1.20X</v>
      </c>
      <c r="V39" s="15" t="str">
        <f t="shared" si="1"/>
        <v>CI0000017842.1.20X</v>
      </c>
      <c r="W39" s="13" t="str">
        <f>HYPERLINK("images\ci0000017842.1.b705.jpg","CI0000017842.1.B705")</f>
        <v>CI0000017842.1.B705</v>
      </c>
      <c r="X39" s="15" t="str">
        <f t="shared" si="2"/>
        <v>CI0000017842.1.B705</v>
      </c>
      <c r="Y39" s="14">
        <v>1.4199999570846558</v>
      </c>
      <c r="Z39" s="13" t="str">
        <f>HYPERLINK("images\ci0000017842.1.r364.jpg","CI0000017842.1.R364")</f>
        <v>CI0000017842.1.R364</v>
      </c>
      <c r="AA39" s="15" t="str">
        <f t="shared" si="3"/>
        <v>CI0000017842.1.R364</v>
      </c>
      <c r="AB39" s="9" t="s">
        <v>57</v>
      </c>
      <c r="AC39" s="9" t="s">
        <v>68</v>
      </c>
      <c r="AD39" s="5"/>
      <c r="AE39" s="9"/>
      <c r="AF39" s="10"/>
      <c r="AG39" s="11"/>
      <c r="AH39" s="11"/>
      <c r="AI39" s="12"/>
      <c r="AJ39" s="9"/>
      <c r="AK39" s="9"/>
      <c r="AL39" s="9"/>
    </row>
    <row r="40" spans="1:38" ht="12.75">
      <c r="A40" s="6" t="s">
        <v>208</v>
      </c>
      <c r="B40" s="16">
        <f t="shared" si="4"/>
        <v>39</v>
      </c>
      <c r="C40" s="10" t="s">
        <v>198</v>
      </c>
      <c r="D40" s="10" t="s">
        <v>152</v>
      </c>
      <c r="E40" s="10" t="s">
        <v>20</v>
      </c>
      <c r="F40" s="10">
        <v>52</v>
      </c>
      <c r="G40" s="9" t="s">
        <v>37</v>
      </c>
      <c r="H40" s="9" t="s">
        <v>9</v>
      </c>
      <c r="I40" s="9" t="s">
        <v>32</v>
      </c>
      <c r="J40" s="10" t="s">
        <v>52</v>
      </c>
      <c r="K40" s="10">
        <v>35</v>
      </c>
      <c r="L40" s="10">
        <v>0</v>
      </c>
      <c r="M40" s="10">
        <v>60</v>
      </c>
      <c r="N40" s="10">
        <v>5</v>
      </c>
      <c r="O40" s="10">
        <v>0</v>
      </c>
      <c r="P40" s="10">
        <v>0</v>
      </c>
      <c r="Q40" s="13" t="str">
        <f>HYPERLINK("abstracts\ci0000018112.rtf","CI0000018112")</f>
        <v>CI0000018112</v>
      </c>
      <c r="R40" s="18" t="str">
        <f>HYPERLINK("/assets/documents/TissueScan/abstracts/"&amp;Q40&amp;".rtf",Q40)</f>
        <v>CI0000018112</v>
      </c>
      <c r="S40" s="13" t="str">
        <f>HYPERLINK("images\ci0000018112.1.4x.jpg","CI0000018112.1.4X")</f>
        <v>CI0000018112.1.4X</v>
      </c>
      <c r="T40" s="15" t="str">
        <f t="shared" si="0"/>
        <v>CI0000018112.1.4X</v>
      </c>
      <c r="U40" s="13" t="str">
        <f>HYPERLINK("images\ci0000018112.1.20x.jpg","CI0000018112.1.20X")</f>
        <v>CI0000018112.1.20X</v>
      </c>
      <c r="V40" s="15" t="str">
        <f t="shared" si="1"/>
        <v>CI0000018112.1.20X</v>
      </c>
      <c r="W40" s="13" t="str">
        <f>HYPERLINK("images\ci0000018112.1.b705.jpg","CI0000018112.1.B705")</f>
        <v>CI0000018112.1.B705</v>
      </c>
      <c r="X40" s="15" t="str">
        <f t="shared" si="2"/>
        <v>CI0000018112.1.B705</v>
      </c>
      <c r="Y40" s="14">
        <v>1.5</v>
      </c>
      <c r="Z40" s="13" t="str">
        <f>HYPERLINK("images\ci0000018112.1.r364.jpg","CI0000018112.1.R364")</f>
        <v>CI0000018112.1.R364</v>
      </c>
      <c r="AA40" s="15" t="str">
        <f t="shared" si="3"/>
        <v>CI0000018112.1.R364</v>
      </c>
      <c r="AB40" s="9" t="s">
        <v>57</v>
      </c>
      <c r="AC40" s="9" t="s">
        <v>69</v>
      </c>
      <c r="AD40" s="5"/>
      <c r="AE40" s="9"/>
      <c r="AF40" s="10"/>
      <c r="AG40" s="11"/>
      <c r="AH40" s="11"/>
      <c r="AI40" s="12"/>
      <c r="AJ40" s="9"/>
      <c r="AK40" s="9"/>
      <c r="AL40" s="9"/>
    </row>
    <row r="41" spans="1:38" ht="12.75">
      <c r="A41" s="6" t="s">
        <v>208</v>
      </c>
      <c r="B41" s="16">
        <f t="shared" si="4"/>
        <v>40</v>
      </c>
      <c r="C41" s="10" t="s">
        <v>199</v>
      </c>
      <c r="D41" s="10" t="s">
        <v>153</v>
      </c>
      <c r="E41" s="10" t="s">
        <v>20</v>
      </c>
      <c r="F41" s="10">
        <v>57</v>
      </c>
      <c r="G41" s="9" t="s">
        <v>37</v>
      </c>
      <c r="H41" s="9" t="s">
        <v>9</v>
      </c>
      <c r="I41" s="9" t="s">
        <v>25</v>
      </c>
      <c r="J41" s="10" t="s">
        <v>52</v>
      </c>
      <c r="K41" s="10">
        <v>30</v>
      </c>
      <c r="L41" s="10">
        <v>0</v>
      </c>
      <c r="M41" s="10">
        <v>70</v>
      </c>
      <c r="N41" s="10">
        <v>0</v>
      </c>
      <c r="O41" s="10">
        <v>0</v>
      </c>
      <c r="P41" s="10">
        <v>0</v>
      </c>
      <c r="Q41" s="13" t="str">
        <f>HYPERLINK("abstracts\ci0000018120.rtf","CI0000018120")</f>
        <v>CI0000018120</v>
      </c>
      <c r="R41" s="18" t="str">
        <f>HYPERLINK("/assets/documents/TissueScan/abstracts/"&amp;Q41&amp;".rtf",Q41)</f>
        <v>CI0000018120</v>
      </c>
      <c r="S41" s="13" t="str">
        <f>HYPERLINK("images\ci0000018120.1.4x.jpg","CI0000018120.1.4X")</f>
        <v>CI0000018120.1.4X</v>
      </c>
      <c r="T41" s="15" t="str">
        <f t="shared" si="0"/>
        <v>CI0000018120.1.4X</v>
      </c>
      <c r="U41" s="13" t="str">
        <f>HYPERLINK("images\ci0000018120.1.20x.jpg","CI0000018120.1.20X")</f>
        <v>CI0000018120.1.20X</v>
      </c>
      <c r="V41" s="15" t="str">
        <f t="shared" si="1"/>
        <v>CI0000018120.1.20X</v>
      </c>
      <c r="W41" s="13" t="str">
        <f>HYPERLINK("images\ci0000018120.1.b705.jpg","CI0000018120.1.B705")</f>
        <v>CI0000018120.1.B705</v>
      </c>
      <c r="X41" s="15" t="str">
        <f t="shared" si="2"/>
        <v>CI0000018120.1.B705</v>
      </c>
      <c r="Y41" s="14">
        <v>1.4900000095367432</v>
      </c>
      <c r="Z41" s="13" t="str">
        <f>HYPERLINK("images\ci0000018120.1.r364.jpg","CI0000018120.1.R364")</f>
        <v>CI0000018120.1.R364</v>
      </c>
      <c r="AA41" s="15" t="str">
        <f t="shared" si="3"/>
        <v>CI0000018120.1.R364</v>
      </c>
      <c r="AB41" s="9" t="s">
        <v>70</v>
      </c>
      <c r="AC41" s="9" t="s">
        <v>71</v>
      </c>
      <c r="AD41" s="5"/>
      <c r="AE41" s="9"/>
      <c r="AF41" s="10"/>
      <c r="AG41" s="11"/>
      <c r="AH41" s="11"/>
      <c r="AI41" s="12"/>
      <c r="AJ41" s="9"/>
      <c r="AK41" s="9"/>
      <c r="AL41" s="9"/>
    </row>
    <row r="42" spans="1:38" ht="12.75">
      <c r="A42" s="6" t="s">
        <v>208</v>
      </c>
      <c r="B42" s="16">
        <v>41</v>
      </c>
      <c r="C42" s="10" t="s">
        <v>200</v>
      </c>
      <c r="D42" s="10" t="s">
        <v>145</v>
      </c>
      <c r="E42" s="10" t="s">
        <v>20</v>
      </c>
      <c r="F42" s="10">
        <v>53</v>
      </c>
      <c r="G42" s="9" t="s">
        <v>79</v>
      </c>
      <c r="H42" s="9" t="s">
        <v>9</v>
      </c>
      <c r="I42" s="9" t="s">
        <v>80</v>
      </c>
      <c r="J42" s="10" t="s">
        <v>82</v>
      </c>
      <c r="K42" s="10">
        <v>0</v>
      </c>
      <c r="L42" s="10">
        <v>0</v>
      </c>
      <c r="M42" s="10">
        <v>85</v>
      </c>
      <c r="N42" s="10">
        <v>0</v>
      </c>
      <c r="O42" s="10">
        <v>10</v>
      </c>
      <c r="P42" s="10">
        <v>5</v>
      </c>
      <c r="Q42" s="13" t="str">
        <f>HYPERLINK("abstracts\ci0000012676.rtf","CI0000012676")</f>
        <v>CI0000012676</v>
      </c>
      <c r="R42" s="18" t="str">
        <f>HYPERLINK("/assets/documents/TissueScan/abstracts/"&amp;Q42&amp;".rtf",Q42)</f>
        <v>CI0000012676</v>
      </c>
      <c r="S42" s="13" t="str">
        <f>HYPERLINK("images\ci0000012676.1.4x.jpg","CI0000012676.1.4X")</f>
        <v>CI0000012676.1.4X</v>
      </c>
      <c r="T42" s="15" t="str">
        <f t="shared" si="0"/>
        <v>CI0000012676.1.4X</v>
      </c>
      <c r="U42" s="13" t="str">
        <f>HYPERLINK("images\ci0000012676.1.20x.jpg","CI0000012676.1.20X")</f>
        <v>CI0000012676.1.20X</v>
      </c>
      <c r="V42" s="15" t="str">
        <f t="shared" si="1"/>
        <v>CI0000012676.1.20X</v>
      </c>
      <c r="W42" s="13" t="str">
        <f>HYPERLINK("images\ci0000012676.1.b705.jpg","CI0000012676.1.B705")</f>
        <v>CI0000012676.1.B705</v>
      </c>
      <c r="X42" s="15" t="str">
        <f t="shared" si="2"/>
        <v>CI0000012676.1.B705</v>
      </c>
      <c r="Y42" s="14">
        <v>1.6799999475479126</v>
      </c>
      <c r="Z42" s="13" t="str">
        <f>HYPERLINK("images\ci0000012676.1.r364.jpg","CI0000012676.1.R364")</f>
        <v>CI0000012676.1.R364</v>
      </c>
      <c r="AA42" s="15" t="str">
        <f t="shared" si="3"/>
        <v>CI0000012676.1.R364</v>
      </c>
      <c r="AB42" s="9" t="s">
        <v>81</v>
      </c>
      <c r="AC42" s="9" t="s">
        <v>83</v>
      </c>
      <c r="AD42" s="5"/>
      <c r="AE42" s="9"/>
      <c r="AF42" s="10"/>
      <c r="AG42" s="11"/>
      <c r="AH42" s="11"/>
      <c r="AI42" s="12"/>
      <c r="AJ42" s="9"/>
      <c r="AK42" s="9"/>
      <c r="AL42" s="9"/>
    </row>
    <row r="43" spans="1:38" ht="12.75">
      <c r="A43" s="6" t="s">
        <v>208</v>
      </c>
      <c r="B43" s="16">
        <f t="shared" si="4"/>
        <v>42</v>
      </c>
      <c r="C43" s="10" t="s">
        <v>201</v>
      </c>
      <c r="D43" s="10" t="s">
        <v>146</v>
      </c>
      <c r="E43" s="10" t="s">
        <v>20</v>
      </c>
      <c r="F43" s="10">
        <v>57</v>
      </c>
      <c r="G43" s="9" t="s">
        <v>37</v>
      </c>
      <c r="H43" s="9" t="s">
        <v>9</v>
      </c>
      <c r="I43" s="9" t="s">
        <v>84</v>
      </c>
      <c r="J43" s="10" t="s">
        <v>82</v>
      </c>
      <c r="K43" s="10">
        <v>39</v>
      </c>
      <c r="L43" s="10">
        <v>0</v>
      </c>
      <c r="M43" s="10">
        <v>60</v>
      </c>
      <c r="N43" s="10">
        <v>0</v>
      </c>
      <c r="O43" s="10">
        <v>0</v>
      </c>
      <c r="P43" s="10">
        <v>1</v>
      </c>
      <c r="Q43" s="13" t="str">
        <f>HYPERLINK("abstracts\ci0000013352.rtf","CI0000013352")</f>
        <v>CI0000013352</v>
      </c>
      <c r="R43" s="18" t="str">
        <f>HYPERLINK("/assets/documents/TissueScan/abstracts/"&amp;Q43&amp;".rtf",Q43)</f>
        <v>CI0000013352</v>
      </c>
      <c r="S43" s="13" t="str">
        <f>HYPERLINK("images\ci0000013352.1.4x.jpg","CI0000013352.1.4X")</f>
        <v>CI0000013352.1.4X</v>
      </c>
      <c r="T43" s="15" t="str">
        <f t="shared" si="0"/>
        <v>CI0000013352.1.4X</v>
      </c>
      <c r="U43" s="13" t="str">
        <f>HYPERLINK("images\ci0000013352.1.20x.jpg","CI0000013352.1.20X")</f>
        <v>CI0000013352.1.20X</v>
      </c>
      <c r="V43" s="15" t="str">
        <f t="shared" si="1"/>
        <v>CI0000013352.1.20X</v>
      </c>
      <c r="W43" s="13" t="str">
        <f>HYPERLINK("images\ci0000013352.1.b705.jpg","CI0000013352.1.B705")</f>
        <v>CI0000013352.1.B705</v>
      </c>
      <c r="X43" s="15" t="str">
        <f t="shared" si="2"/>
        <v>CI0000013352.1.B705</v>
      </c>
      <c r="Y43" s="14">
        <v>1.3899999856948853</v>
      </c>
      <c r="Z43" s="13" t="str">
        <f>HYPERLINK("images\ci0000013352.1.r364.jpg","CI0000013352.1.R364")</f>
        <v>CI0000013352.1.R364</v>
      </c>
      <c r="AA43" s="15" t="str">
        <f t="shared" si="3"/>
        <v>CI0000013352.1.R364</v>
      </c>
      <c r="AB43" s="9" t="s">
        <v>85</v>
      </c>
      <c r="AC43" s="9" t="s">
        <v>86</v>
      </c>
      <c r="AD43" s="5"/>
      <c r="AE43" s="9"/>
      <c r="AF43" s="10"/>
      <c r="AG43" s="11"/>
      <c r="AH43" s="11"/>
      <c r="AI43" s="12"/>
      <c r="AJ43" s="9"/>
      <c r="AK43" s="9"/>
      <c r="AL43" s="9"/>
    </row>
    <row r="44" spans="1:38" ht="12.75">
      <c r="A44" s="6" t="s">
        <v>208</v>
      </c>
      <c r="B44" s="16">
        <v>43</v>
      </c>
      <c r="C44" s="10" t="s">
        <v>202</v>
      </c>
      <c r="D44" s="10" t="s">
        <v>154</v>
      </c>
      <c r="E44" s="10" t="s">
        <v>20</v>
      </c>
      <c r="F44" s="10">
        <v>86</v>
      </c>
      <c r="G44" s="9" t="s">
        <v>21</v>
      </c>
      <c r="H44" s="9" t="s">
        <v>9</v>
      </c>
      <c r="I44" s="9" t="s">
        <v>25</v>
      </c>
      <c r="J44" s="10" t="s">
        <v>82</v>
      </c>
      <c r="K44" s="10">
        <v>0</v>
      </c>
      <c r="L44" s="10">
        <v>0</v>
      </c>
      <c r="M44" s="10">
        <v>95</v>
      </c>
      <c r="N44" s="10">
        <v>0</v>
      </c>
      <c r="O44" s="10">
        <v>4</v>
      </c>
      <c r="P44" s="10">
        <v>1</v>
      </c>
      <c r="Q44" s="13" t="str">
        <f>HYPERLINK("abstracts\cu0000006596.rtf","CU0000006596")</f>
        <v>CU0000006596</v>
      </c>
      <c r="R44" s="18" t="str">
        <f>HYPERLINK("/assets/documents/TissueScan/abstracts/"&amp;Q44&amp;".rtf",Q44)</f>
        <v>CU0000006596</v>
      </c>
      <c r="S44" s="13" t="str">
        <f>HYPERLINK("images\cu0000006596.1.4x.jpg","CU0000006596.1.4X")</f>
        <v>CU0000006596.1.4X</v>
      </c>
      <c r="T44" s="15" t="str">
        <f t="shared" si="0"/>
        <v>CU0000006596.1.4X</v>
      </c>
      <c r="U44" s="13" t="str">
        <f>HYPERLINK("images\cu0000006596.1.20x.jpg","CU0000006596.1.20X")</f>
        <v>CU0000006596.1.20X</v>
      </c>
      <c r="V44" s="15" t="str">
        <f t="shared" si="1"/>
        <v>CU0000006596.1.20X</v>
      </c>
      <c r="W44" s="13" t="str">
        <f>HYPERLINK("images\cu0000006596.1.b705.jpg","CU0000006596.1.B705")</f>
        <v>CU0000006596.1.B705</v>
      </c>
      <c r="X44" s="15" t="str">
        <f t="shared" si="2"/>
        <v>CU0000006596.1.B705</v>
      </c>
      <c r="Y44" s="14">
        <v>1.6299999952316284</v>
      </c>
      <c r="Z44" s="13" t="str">
        <f>HYPERLINK("images\cu0000006596.1.r364.jpg","CU0000006596.1.R364")</f>
        <v>CU0000006596.1.R364</v>
      </c>
      <c r="AA44" s="15" t="str">
        <f t="shared" si="3"/>
        <v>CU0000006596.1.R364</v>
      </c>
      <c r="AB44" s="9" t="s">
        <v>90</v>
      </c>
      <c r="AC44" s="9" t="s">
        <v>91</v>
      </c>
      <c r="AD44" s="5"/>
      <c r="AE44" s="9"/>
      <c r="AF44" s="10"/>
      <c r="AG44" s="11"/>
      <c r="AH44" s="11"/>
      <c r="AI44" s="12"/>
      <c r="AJ44" s="9"/>
      <c r="AK44" s="9"/>
      <c r="AL44" s="9"/>
    </row>
    <row r="45" spans="1:38" ht="12.75">
      <c r="A45" s="6" t="s">
        <v>208</v>
      </c>
      <c r="B45" s="16">
        <v>44</v>
      </c>
      <c r="C45" s="10" t="s">
        <v>203</v>
      </c>
      <c r="D45" s="10" t="s">
        <v>155</v>
      </c>
      <c r="E45" s="10" t="s">
        <v>20</v>
      </c>
      <c r="F45" s="10">
        <v>62</v>
      </c>
      <c r="G45" s="9" t="s">
        <v>92</v>
      </c>
      <c r="H45" s="9" t="s">
        <v>9</v>
      </c>
      <c r="I45" s="9" t="s">
        <v>25</v>
      </c>
      <c r="J45" s="10" t="s">
        <v>82</v>
      </c>
      <c r="K45" s="10">
        <v>0</v>
      </c>
      <c r="L45" s="10">
        <v>0</v>
      </c>
      <c r="M45" s="10">
        <v>75</v>
      </c>
      <c r="N45" s="10">
        <v>24</v>
      </c>
      <c r="O45" s="10">
        <v>0</v>
      </c>
      <c r="P45" s="10">
        <v>1</v>
      </c>
      <c r="Q45" s="13" t="str">
        <f>HYPERLINK("abstracts\cu0000014359.rtf","CU0000014359")</f>
        <v>CU0000014359</v>
      </c>
      <c r="R45" s="18" t="str">
        <f>HYPERLINK("/assets/documents/TissueScan/abstracts/"&amp;Q45&amp;".rtf",Q45)</f>
        <v>CU0000014359</v>
      </c>
      <c r="S45" s="13" t="str">
        <f>HYPERLINK("images\cu0000014359.1.4x.jpg","CU0000014359.1.4X")</f>
        <v>CU0000014359.1.4X</v>
      </c>
      <c r="T45" s="15" t="str">
        <f t="shared" si="0"/>
        <v>CU0000014359.1.4X</v>
      </c>
      <c r="U45" s="13" t="str">
        <f>HYPERLINK("images\cu0000014359.1.20x.jpg","CU0000014359.1.20X")</f>
        <v>CU0000014359.1.20X</v>
      </c>
      <c r="V45" s="15" t="str">
        <f t="shared" si="1"/>
        <v>CU0000014359.1.20X</v>
      </c>
      <c r="W45" s="13" t="str">
        <f>HYPERLINK("images\cu0000014359.1.b705.jpg","CU0000014359.1.B705")</f>
        <v>CU0000014359.1.B705</v>
      </c>
      <c r="X45" s="15" t="str">
        <f t="shared" si="2"/>
        <v>CU0000014359.1.B705</v>
      </c>
      <c r="Y45" s="14">
        <v>1.2999999523162842</v>
      </c>
      <c r="Z45" s="13" t="str">
        <f>HYPERLINK("images\cu0000014359.1.r364.jpg","CU0000014359.1.R364")</f>
        <v>CU0000014359.1.R364</v>
      </c>
      <c r="AA45" s="15" t="str">
        <f t="shared" si="3"/>
        <v>CU0000014359.1.R364</v>
      </c>
      <c r="AB45" s="9" t="s">
        <v>85</v>
      </c>
      <c r="AC45" s="9" t="s">
        <v>93</v>
      </c>
      <c r="AD45" s="5"/>
      <c r="AE45" s="9"/>
      <c r="AF45" s="10"/>
      <c r="AG45" s="11"/>
      <c r="AH45" s="11"/>
      <c r="AI45" s="12"/>
      <c r="AJ45" s="9"/>
      <c r="AK45" s="9"/>
      <c r="AL45" s="9"/>
    </row>
    <row r="46" spans="1:38" ht="12.75">
      <c r="A46" s="6" t="s">
        <v>208</v>
      </c>
      <c r="B46" s="16">
        <v>45</v>
      </c>
      <c r="C46" s="10" t="s">
        <v>204</v>
      </c>
      <c r="D46" s="10" t="s">
        <v>148</v>
      </c>
      <c r="E46" s="10" t="s">
        <v>20</v>
      </c>
      <c r="F46" s="10">
        <v>76</v>
      </c>
      <c r="G46" s="9" t="s">
        <v>72</v>
      </c>
      <c r="H46" s="9" t="s">
        <v>9</v>
      </c>
      <c r="I46" s="9" t="s">
        <v>25</v>
      </c>
      <c r="J46" s="10" t="s">
        <v>88</v>
      </c>
      <c r="K46" s="10">
        <v>25</v>
      </c>
      <c r="L46" s="10">
        <v>0</v>
      </c>
      <c r="M46" s="10">
        <v>60</v>
      </c>
      <c r="N46" s="10">
        <v>0</v>
      </c>
      <c r="O46" s="10">
        <v>10</v>
      </c>
      <c r="P46" s="10">
        <v>5</v>
      </c>
      <c r="Q46" s="13" t="str">
        <f>HYPERLINK("abstracts\ci0000015000.rtf","CI0000015000")</f>
        <v>CI0000015000</v>
      </c>
      <c r="R46" s="18" t="str">
        <f>HYPERLINK("/assets/documents/TissueScan/abstracts/"&amp;Q46&amp;".rtf",Q46)</f>
        <v>CI0000015000</v>
      </c>
      <c r="S46" s="13" t="str">
        <f>HYPERLINK("images\ci0000015000.1.4x.jpg","CI0000015000.1.4X")</f>
        <v>CI0000015000.1.4X</v>
      </c>
      <c r="T46" s="15" t="str">
        <f t="shared" si="0"/>
        <v>CI0000015000.1.4X</v>
      </c>
      <c r="U46" s="13" t="str">
        <f>HYPERLINK("images\ci0000015000.1.20x.jpg","CI0000015000.1.20X")</f>
        <v>CI0000015000.1.20X</v>
      </c>
      <c r="V46" s="15" t="str">
        <f t="shared" si="1"/>
        <v>CI0000015000.1.20X</v>
      </c>
      <c r="W46" s="13" t="str">
        <f>HYPERLINK("images\ci0000015000.1.b705.jpg","CI0000015000.1.B705")</f>
        <v>CI0000015000.1.B705</v>
      </c>
      <c r="X46" s="15" t="str">
        <f t="shared" si="2"/>
        <v>CI0000015000.1.B705</v>
      </c>
      <c r="Y46" s="14">
        <v>1.7300000190734863</v>
      </c>
      <c r="Z46" s="13" t="str">
        <f>HYPERLINK("images\ci0000015000.1.r364.jpg","CI0000015000.1.R364")</f>
        <v>CI0000015000.1.R364</v>
      </c>
      <c r="AA46" s="15" t="str">
        <f t="shared" si="3"/>
        <v>CI0000015000.1.R364</v>
      </c>
      <c r="AB46" s="9" t="s">
        <v>87</v>
      </c>
      <c r="AC46" s="9" t="s">
        <v>89</v>
      </c>
      <c r="AD46" s="5"/>
      <c r="AE46" s="9"/>
      <c r="AF46" s="10"/>
      <c r="AG46" s="11"/>
      <c r="AH46" s="11"/>
      <c r="AI46" s="12"/>
      <c r="AJ46" s="9"/>
      <c r="AK46" s="9"/>
      <c r="AL46" s="9"/>
    </row>
    <row r="47" spans="1:38" ht="12.75">
      <c r="A47" s="6" t="s">
        <v>208</v>
      </c>
      <c r="B47" s="16">
        <v>46</v>
      </c>
      <c r="C47" s="10" t="s">
        <v>205</v>
      </c>
      <c r="D47" s="10" t="s">
        <v>138</v>
      </c>
      <c r="E47" s="10" t="s">
        <v>20</v>
      </c>
      <c r="F47" s="10">
        <v>57</v>
      </c>
      <c r="G47" s="9" t="s">
        <v>72</v>
      </c>
      <c r="H47" s="9" t="s">
        <v>9</v>
      </c>
      <c r="I47" s="9" t="s">
        <v>25</v>
      </c>
      <c r="J47" s="10" t="s">
        <v>74</v>
      </c>
      <c r="K47" s="10">
        <v>0</v>
      </c>
      <c r="L47" s="10">
        <v>0</v>
      </c>
      <c r="M47" s="10">
        <v>65</v>
      </c>
      <c r="N47" s="10">
        <v>0</v>
      </c>
      <c r="O47" s="10">
        <v>5</v>
      </c>
      <c r="P47" s="10">
        <v>30</v>
      </c>
      <c r="Q47" s="13" t="str">
        <f>HYPERLINK("abstracts\cu0000005214.rtf","CU0000005214")</f>
        <v>CU0000005214</v>
      </c>
      <c r="R47" s="18" t="str">
        <f>HYPERLINK("/assets/documents/TissueScan/abstracts/"&amp;Q47&amp;".rtf",Q47)</f>
        <v>CU0000005214</v>
      </c>
      <c r="S47" s="13" t="str">
        <f>HYPERLINK("images\cu0000005214.1.4x.jpg","CU0000005214.1.4X")</f>
        <v>CU0000005214.1.4X</v>
      </c>
      <c r="T47" s="15" t="str">
        <f t="shared" si="0"/>
        <v>CU0000005214.1.4X</v>
      </c>
      <c r="U47" s="13" t="str">
        <f>HYPERLINK("images\cu0000005214.1.20x.jpg","CU0000005214.1.20X")</f>
        <v>CU0000005214.1.20X</v>
      </c>
      <c r="V47" s="15" t="str">
        <f t="shared" si="1"/>
        <v>CU0000005214.1.20X</v>
      </c>
      <c r="W47" s="13" t="str">
        <f>HYPERLINK("images\cu0000005214.1.b703.jpg","CU0000005214.1.B703")</f>
        <v>CU0000005214.1.B703</v>
      </c>
      <c r="X47" s="15" t="str">
        <f t="shared" si="2"/>
        <v>CU0000005214.1.B703</v>
      </c>
      <c r="Y47" s="14">
        <v>1.5199999809265137</v>
      </c>
      <c r="Z47" s="13" t="str">
        <f>HYPERLINK("images\cu0000005214.1.r362.jpg","CU0000005214.1.R362")</f>
        <v>CU0000005214.1.R362</v>
      </c>
      <c r="AA47" s="15" t="str">
        <f t="shared" si="3"/>
        <v>CU0000005214.1.R362</v>
      </c>
      <c r="AB47" s="9" t="s">
        <v>73</v>
      </c>
      <c r="AC47" s="9"/>
      <c r="AD47" s="5"/>
      <c r="AE47" s="9"/>
      <c r="AF47" s="10"/>
      <c r="AG47" s="11"/>
      <c r="AH47" s="11"/>
      <c r="AI47" s="12"/>
      <c r="AJ47" s="9"/>
      <c r="AK47" s="9"/>
      <c r="AL47" s="9"/>
    </row>
    <row r="48" spans="1:38" ht="12.75">
      <c r="A48" s="6" t="s">
        <v>208</v>
      </c>
      <c r="B48" s="16">
        <f t="shared" si="4"/>
        <v>47</v>
      </c>
      <c r="C48" s="10" t="s">
        <v>206</v>
      </c>
      <c r="D48" s="10" t="s">
        <v>143</v>
      </c>
      <c r="E48" s="10" t="s">
        <v>20</v>
      </c>
      <c r="F48" s="10">
        <v>52</v>
      </c>
      <c r="G48" s="9" t="s">
        <v>21</v>
      </c>
      <c r="H48" s="9" t="s">
        <v>9</v>
      </c>
      <c r="I48" s="9" t="s">
        <v>25</v>
      </c>
      <c r="J48" s="10" t="s">
        <v>74</v>
      </c>
      <c r="K48" s="10">
        <v>0</v>
      </c>
      <c r="L48" s="10">
        <v>0</v>
      </c>
      <c r="M48" s="10">
        <v>94</v>
      </c>
      <c r="N48" s="10">
        <v>0</v>
      </c>
      <c r="O48" s="10">
        <v>5</v>
      </c>
      <c r="P48" s="10">
        <v>1</v>
      </c>
      <c r="Q48" s="13" t="str">
        <f>HYPERLINK("abstracts\ci0000009847.rtf","CI0000009847")</f>
        <v>CI0000009847</v>
      </c>
      <c r="R48" s="18" t="str">
        <f>HYPERLINK("/assets/documents/TissueScan/abstracts/"&amp;Q48&amp;".rtf",Q48)</f>
        <v>CI0000009847</v>
      </c>
      <c r="S48" s="13" t="str">
        <f>HYPERLINK("images\ci0000009847.1.4x.jpg","CI0000009847.1.4X")</f>
        <v>CI0000009847.1.4X</v>
      </c>
      <c r="T48" s="15" t="str">
        <f t="shared" si="0"/>
        <v>CI0000009847.1.4X</v>
      </c>
      <c r="U48" s="13" t="str">
        <f>HYPERLINK("images\ci0000009847.1.20x.jpg","CI0000009847.1.20X")</f>
        <v>CI0000009847.1.20X</v>
      </c>
      <c r="V48" s="15" t="str">
        <f t="shared" si="1"/>
        <v>CI0000009847.1.20X</v>
      </c>
      <c r="W48" s="13" t="str">
        <f>HYPERLINK("images\ci0000009847.1.b705.jpg","CI0000009847.1.B705")</f>
        <v>CI0000009847.1.B705</v>
      </c>
      <c r="X48" s="15" t="str">
        <f t="shared" si="2"/>
        <v>CI0000009847.1.B705</v>
      </c>
      <c r="Y48" s="14">
        <v>1.75</v>
      </c>
      <c r="Z48" s="13" t="str">
        <f>HYPERLINK("images\ci0000009847.1.r364.jpg","CI0000009847.1.R364")</f>
        <v>CI0000009847.1.R364</v>
      </c>
      <c r="AA48" s="15" t="str">
        <f t="shared" si="3"/>
        <v>CI0000009847.1.R364</v>
      </c>
      <c r="AB48" s="9" t="s">
        <v>75</v>
      </c>
      <c r="AC48" s="9" t="s">
        <v>76</v>
      </c>
      <c r="AD48" s="5"/>
      <c r="AE48" s="9"/>
      <c r="AF48" s="10"/>
      <c r="AG48" s="11"/>
      <c r="AH48" s="11"/>
      <c r="AI48" s="12"/>
      <c r="AJ48" s="9"/>
      <c r="AK48" s="9"/>
      <c r="AL48" s="9"/>
    </row>
    <row r="49" spans="1:38" ht="12.75">
      <c r="A49" s="6" t="s">
        <v>208</v>
      </c>
      <c r="B49" s="16">
        <f t="shared" si="4"/>
        <v>48</v>
      </c>
      <c r="C49" s="10" t="s">
        <v>207</v>
      </c>
      <c r="D49" s="10" t="s">
        <v>144</v>
      </c>
      <c r="E49" s="10" t="s">
        <v>20</v>
      </c>
      <c r="F49" s="10">
        <v>52</v>
      </c>
      <c r="G49" s="9" t="s">
        <v>21</v>
      </c>
      <c r="H49" s="9" t="s">
        <v>9</v>
      </c>
      <c r="I49" s="9" t="s">
        <v>25</v>
      </c>
      <c r="J49" s="10" t="s">
        <v>74</v>
      </c>
      <c r="K49" s="10">
        <v>0</v>
      </c>
      <c r="L49" s="10">
        <v>0</v>
      </c>
      <c r="M49" s="10">
        <v>85</v>
      </c>
      <c r="N49" s="10">
        <v>10</v>
      </c>
      <c r="O49" s="10">
        <v>0</v>
      </c>
      <c r="P49" s="10">
        <v>5</v>
      </c>
      <c r="Q49" s="13" t="str">
        <f>HYPERLINK("abstracts\ci0000010809.rtf","CI0000010809")</f>
        <v>CI0000010809</v>
      </c>
      <c r="R49" s="18" t="str">
        <f>HYPERLINK("/assets/documents/TissueScan/abstracts/"&amp;Q49&amp;".rtf",Q49)</f>
        <v>CI0000010809</v>
      </c>
      <c r="S49" s="13" t="str">
        <f>HYPERLINK("images\ci0000010809.1.4x.jpg","CI0000010809.1.4X")</f>
        <v>CI0000010809.1.4X</v>
      </c>
      <c r="T49" s="15" t="str">
        <f t="shared" si="0"/>
        <v>CI0000010809.1.4X</v>
      </c>
      <c r="U49" s="13" t="str">
        <f>HYPERLINK("images\ci0000010809.1.20x.jpg","CI0000010809.1.20X")</f>
        <v>CI0000010809.1.20X</v>
      </c>
      <c r="V49" s="15" t="str">
        <f t="shared" si="1"/>
        <v>CI0000010809.1.20X</v>
      </c>
      <c r="W49" s="13" t="str">
        <f>HYPERLINK("images\ci0000010809.1.b705.jpg","CI0000010809.1.B705")</f>
        <v>CI0000010809.1.B705</v>
      </c>
      <c r="X49" s="15" t="str">
        <f t="shared" si="2"/>
        <v>CI0000010809.1.B705</v>
      </c>
      <c r="Y49" s="14">
        <v>1.809999942779541</v>
      </c>
      <c r="Z49" s="13" t="str">
        <f>HYPERLINK("images\ci0000010809.1.r364.jpg","CI0000010809.1.R364")</f>
        <v>CI0000010809.1.R364</v>
      </c>
      <c r="AA49" s="15" t="str">
        <f t="shared" si="3"/>
        <v>CI0000010809.1.R364</v>
      </c>
      <c r="AB49" s="9" t="s">
        <v>77</v>
      </c>
      <c r="AC49" s="9" t="s">
        <v>78</v>
      </c>
      <c r="AD49" s="5"/>
      <c r="AE49" s="9"/>
      <c r="AF49" s="10"/>
      <c r="AG49" s="11"/>
      <c r="AH49" s="11"/>
      <c r="AI49" s="12"/>
      <c r="AJ49" s="9"/>
      <c r="AK49" s="9"/>
      <c r="AL49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ssteelman</dc:creator>
  <cp:keywords/>
  <dc:description/>
  <cp:lastModifiedBy>Mac Lu</cp:lastModifiedBy>
  <dcterms:created xsi:type="dcterms:W3CDTF">2005-03-17T13:30:03Z</dcterms:created>
  <dcterms:modified xsi:type="dcterms:W3CDTF">2012-10-15T19:22:29Z</dcterms:modified>
  <cp:category/>
  <cp:version/>
  <cp:contentType/>
  <cp:contentStatus/>
</cp:coreProperties>
</file>